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0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ธ ธกส" sheetId="9" r:id="rId9"/>
    <sheet name="กระทบยอดเงินฝากธ.กรุงไทย" sheetId="10" r:id="rId10"/>
    <sheet name="จ่ายจากรายรับ" sheetId="11" r:id="rId11"/>
    <sheet name="คงเหลือ" sheetId="12" r:id="rId12"/>
    <sheet name="Sheet1" sheetId="13" r:id="rId13"/>
  </sheets>
  <definedNames>
    <definedName name="_xlnm.Print_Area" localSheetId="0">'งบทดลอง'!$A$1:$D$67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<sst xmlns="http://schemas.openxmlformats.org/spreadsheetml/2006/main" count="924" uniqueCount="514">
  <si>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</si>
  <si>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</si>
  <si>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</si>
  <si>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</si>
  <si>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</si>
  <si>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</si>
  <si>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</si>
  <si>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</si>
  <si>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</si>
  <si>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</si>
  <si>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</si>
  <si>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</si>
  <si>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</si>
  <si>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</si>
  <si>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</si>
  <si>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</si>
  <si>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</si>
  <si>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</si>
  <si>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</si>
  <si>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</si>
  <si>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</si>
  <si>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</si>
  <si>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</si>
  <si>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</si>
  <si>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</si>
  <si>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</si>
  <si>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</si>
  <si>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</si>
  <si>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</si>
  <si>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</si>
  <si>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</si>
  <si>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</si>
  <si>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</si>
  <si>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</si>
  <si>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</si>
  <si>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</si>
  <si>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</si>
  <si>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</si>
  <si>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</si>
  <si>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</si>
  <si>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</si>
  <si>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</si>
  <si>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</si>
  <si>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</si>
  <si>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</si>
  <si>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</si>
  <si>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</si>
  <si>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</si>
  <si>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</si>
  <si>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</si>
  <si>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</si>
  <si>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</si>
  <si>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</si>
  <si>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</si>
  <si>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</si>
  <si>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</si>
  <si>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</si>
  <si>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</si>
  <si>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</si>
  <si>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</si>
  <si>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</si>
  <si>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</si>
  <si>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</si>
  <si>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</si>
  <si>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</si>
  <si>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</si>
  <si>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</si>
  <si>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</si>
  <si>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</si>
  <si>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</si>
  <si>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</si>
  <si>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</si>
  <si>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</si>
  <si>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</si>
  <si>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</si>
  <si>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</si>
  <si>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</si>
  <si>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</si>
  <si>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</si>
  <si>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</si>
  <si>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</si>
  <si>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</si>
  <si>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</si>
  <si>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</si>
  <si>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</si>
  <si>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</si>
  <si>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</si>
  <si>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</si>
  <si>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</si>
  <si>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</si>
  <si>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</si>
  <si>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</si>
  <si>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</si>
  <si>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</si>
  <si>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</si>
  <si>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</si>
  <si>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</si>
  <si>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</si>
  <si>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</si>
  <si>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</si>
  <si>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</si>
  <si>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</si>
  <si>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</si>
  <si>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</si>
  <si>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</si>
  <si>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</si>
  <si>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</si>
  <si>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</si>
  <si>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</si>
  <si>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</si>
  <si>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</si>
  <si>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</si>
  <si>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</si>
  <si>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</si>
  <si>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</si>
  <si>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</si>
  <si>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</si>
  <si>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</si>
  <si>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</si>
  <si>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</si>
  <si>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</si>
  <si>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</si>
  <si>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</si>
  <si>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</si>
  <si>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</si>
  <si>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</si>
  <si>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</si>
  <si>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</si>
  <si>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</si>
  <si>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</si>
  <si>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</si>
  <si>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</si>
  <si>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</si>
  <si>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</si>
  <si>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</si>
  <si>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</si>
  <si>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</si>
  <si>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</si>
  <si>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</si>
  <si>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</si>
  <si>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</si>
  <si>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</si>
  <si>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</si>
  <si>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</si>
  <si>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</si>
  <si>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</si>
  <si>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</si>
  <si>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</si>
  <si>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</si>
  <si>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</si>
  <si>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</si>
  <si>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</si>
  <si>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</si>
  <si>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</si>
  <si>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</si>
  <si>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</si>
  <si>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</si>
  <si>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</si>
  <si>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</si>
  <si>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</si>
  <si>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</si>
  <si>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</si>
  <si>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</si>
  <si>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</si>
  <si>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</si>
  <si>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</si>
  <si>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</si>
  <si>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</si>
  <si>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</si>
  <si>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</si>
  <si>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</si>
  <si>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</si>
  <si>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</si>
  <si>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</si>
  <si>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</si>
  <si>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</si>
  <si>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</si>
  <si>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</si>
  <si>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</si>
  <si>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</si>
  <si>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</si>
  <si>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</si>
  <si>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</si>
  <si>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</si>
  <si>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</si>
  <si>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</si>
  <si>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</si>
  <si>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</si>
  <si>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</si>
  <si>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</si>
  <si>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</si>
  <si>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</si>
  <si>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</si>
  <si>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</si>
  <si>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</si>
  <si>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</si>
  <si>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</si>
  <si>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</si>
  <si>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</si>
  <si>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</si>
  <si>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</si>
  <si>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</si>
  <si>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</si>
  <si>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</si>
  <si>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</si>
  <si>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</si>
  <si>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</si>
  <si>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</si>
  <si>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</si>
  <si>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</si>
  <si>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</si>
  <si>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</si>
  <si>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</si>
  <si>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</si>
  <si>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</si>
  <si>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</si>
  <si>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</si>
  <si>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</si>
  <si>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</si>
  <si>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</si>
  <si>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</si>
  <si>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</si>
  <si>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</si>
  <si>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</si>
  <si>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</si>
  <si>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</si>
  <si>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</si>
  <si>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</si>
  <si>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</si>
  <si>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</si>
  <si>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</si>
  <si>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</si>
  <si>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</si>
  <si>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</si>
  <si>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กลุ่มทำไร่มันสำปะหลัง  หมู่  1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</si>
  <si>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</si>
  <si>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</si>
  <si>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</si>
  <si>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</si>
  <si>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</si>
  <si>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</si>
  <si>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</si>
  <si>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</si>
  <si>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</si>
  <si>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</si>
  <si>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</si>
  <si>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</si>
  <si>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</si>
  <si>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</si>
  <si>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</si>
  <si>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</si>
  <si>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</si>
  <si>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</si>
  <si>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</si>
  <si>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</si>
  <si>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</si>
  <si>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</si>
  <si>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</si>
  <si>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</si>
  <si>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</si>
  <si>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</si>
  <si>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</si>
  <si>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</si>
  <si>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</si>
  <si>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</si>
  <si>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</si>
  <si>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</si>
  <si>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</si>
  <si>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</si>
  <si>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</si>
  <si>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</si>
  <si>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</si>
  <si>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</si>
  <si>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</si>
  <si>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</si>
  <si>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</si>
  <si>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</si>
  <si>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</si>
  <si>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</si>
  <si>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</si>
  <si>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</si>
  <si>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</si>
  <si>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</si>
  <si>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</si>
  <si>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</si>
  <si>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</si>
  <si>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</si>
  <si>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</si>
  <si>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</si>
  <si>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</si>
  <si>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</si>
  <si>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</si>
  <si>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</si>
  <si>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</si>
  <si>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</si>
  <si>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</si>
  <si>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</si>
  <si>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</si>
  <si>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</si>
  <si>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</si>
  <si>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</si>
  <si>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</si>
  <si>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</si>
  <si>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</si>
  <si>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</si>
  <si>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</si>
  <si>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</si>
  <si>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</si>
  <si>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</si>
  <si>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</si>
  <si>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</si>
  <si>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</si>
  <si>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</si>
  <si>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</si>
  <si>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</si>
  <si>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</si>
  <si>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</si>
  <si>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</si>
  <si>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</si>
  <si>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</si>
  <si>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</si>
  <si>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</si>
  <si>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</si>
  <si>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</si>
  <si>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</si>
  <si>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</si>
  <si>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</si>
  <si>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</si>
  <si>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</si>
  <si>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</si>
  <si>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</si>
  <si>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</si>
  <si>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</si>
  <si>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</si>
  <si>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</si>
  <si>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</si>
  <si>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</si>
  <si>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</si>
  <si>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</si>
  <si>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</si>
  <si>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</si>
  <si>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</si>
  <si>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</si>
  <si>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</si>
  <si>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</si>
  <si>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</si>
  <si>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</si>
  <si>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</si>
  <si>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</si>
  <si>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</si>
  <si>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</si>
  <si>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</si>
  <si>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</si>
  <si>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</si>
  <si>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</si>
  <si>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</si>
  <si>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</si>
  <si>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</si>
  <si>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</si>
  <si>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</si>
  <si>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</si>
  <si>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รายจ่ายค้างจ่าย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</si>
  <si>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</si>
  <si>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</si>
  <si>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</si>
  <si>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</si>
  <si>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</si>
  <si>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</si>
  <si>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</si>
  <si>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</si>
  <si>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</si>
  <si>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</si>
  <si>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</si>
  <si>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</si>
  <si>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110606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</si>
  <si>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</si>
  <si>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</si>
  <si>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</si>
  <si>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</si>
  <si>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</si>
  <si>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</si>
  <si>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</si>
  <si>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</si>
  <si>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</si>
  <si>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</si>
  <si>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</si>
  <si>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</si>
  <si>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</si>
  <si>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</si>
  <si>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</si>
  <si>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</si>
  <si>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</si>
  <si>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</si>
  <si>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</si>
  <si>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</si>
  <si>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</si>
  <si>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</si>
  <si>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210402</t>
  </si>
  <si>
    <t>210500</t>
  </si>
  <si>
    <t>รายจ่ายรอจ่าย</t>
  </si>
  <si>
    <t>ณ  วันที่  31  ตุลาคม  2557</t>
  </si>
  <si>
    <t>เงินฝาก ธกส.สาขาโชคชัย (ออมทรัพย์เผื่อเรียกพิเศษ 11 เดือน) เลขที่ 300016953717</t>
  </si>
  <si>
    <t xml:space="preserve">เงินฝาก ธนาคาร  ออมสิน สาขาโชคชัย (เผื่อเรียก)   เลขที่ 0-5250073762-3 </t>
  </si>
  <si>
    <t>หมายเหตุ 1  ประกอบงบทดลอง  ณ  วันที่    31  ตุลาคม  2557</t>
  </si>
  <si>
    <t>เงินค่าใช้จ่าย 5%</t>
  </si>
  <si>
    <t>เงินอุดหนุน-ค่าใช้จ่ายในการก่อสร้างศูนย์พัฒนาคุณภาพชีวิตและส่งเสริมอาชีพผู้สูงอายุ</t>
  </si>
  <si>
    <t>เงินอุดหนุน-ค่าใช้จ่ายในการจัดซื้อครุภัณฑ์ของศูนย์พัฒนาคุณภาพชีวิตและส่งเสริมอาชีพผู้สูงอายุ</t>
  </si>
  <si>
    <t>เงินหลักประกันซอง</t>
  </si>
  <si>
    <t xml:space="preserve">  31  ตุลาคม  2557</t>
  </si>
  <si>
    <t>7/2557</t>
  </si>
  <si>
    <t>11/2557</t>
  </si>
  <si>
    <t>21/2557</t>
  </si>
  <si>
    <t>5/2557</t>
  </si>
  <si>
    <t>14/2557</t>
  </si>
  <si>
    <t>8/2557</t>
  </si>
  <si>
    <t>20/2557</t>
  </si>
  <si>
    <t>15/2557</t>
  </si>
  <si>
    <t>6/2557</t>
  </si>
  <si>
    <t>13/2557</t>
  </si>
  <si>
    <t>17/2557</t>
  </si>
  <si>
    <t>4/2557</t>
  </si>
  <si>
    <t>กลุ่มปลูกมันสำปะหลัง หมู่ 8</t>
  </si>
  <si>
    <t>9/2557</t>
  </si>
  <si>
    <t>19/2557</t>
  </si>
  <si>
    <t>กลุ่มเลี้ยงหมูบ้านคลองยาง ม. 9 (โกรกกัดลิ้น)</t>
  </si>
  <si>
    <t>10/2557</t>
  </si>
  <si>
    <t>3/2557</t>
  </si>
  <si>
    <t>กลุ่มเกษตรกรปลูกผัดเลี้ยงปลา หมู่ 11</t>
  </si>
  <si>
    <t>12/2557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</si>
  <si>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</si>
  <si>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</si>
  <si>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</si>
  <si>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</si>
  <si>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</si>
  <si>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</si>
  <si>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</si>
  <si>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หมายเหตุ 2  ประกอบงบทดลอง  ณ  วันที่    31  ตุลาคม  2557</t>
  </si>
  <si>
    <t>หมายเหตุ 1  ประกอบงบทดลอง  ณ  วันที่    31  ตุลาคม   2557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</si>
  <si>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</si>
  <si>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</si>
  <si>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</si>
  <si>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</si>
  <si>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</si>
  <si>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</si>
  <si>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</si>
  <si>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</si>
  <si>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</si>
  <si>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</si>
  <si>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</si>
  <si>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</si>
  <si>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หมายเหตุ 1 ประกอบรายงานรับ- จ่ายเงินสด ณ วันที่  31  ตุลาคม  2557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</si>
  <si>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</si>
  <si>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</si>
  <si>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</si>
  <si>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</si>
  <si>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ประจำเดือน  ตุลาคม  2557</t>
  </si>
  <si>
    <t>ค่ารักษาพยาบาล</t>
  </si>
  <si>
    <t>ประกันสังคม</t>
  </si>
  <si>
    <t>เงินรอคืนจังหวัด(ค่าขายแบบแปลน)</t>
  </si>
  <si>
    <t>เงินมัดจำประกันสัญญา-หลักประกันซอง</t>
  </si>
  <si>
    <t>หมายเหตุ 3  ประกอบรายงาน รับ - จ่าย เงินสด  ณ  วันที่  31  ตุลาคม 2557</t>
  </si>
  <si>
    <t>หมายเหตุ 4  ประกอบรายงาน รับ - จ่าย เงินสด  ณ  วันที่  31  ตุลาคม  2557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</si>
  <si>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</si>
  <si>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</si>
  <si>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</si>
  <si>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</si>
  <si>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</si>
  <si>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รายจ่ายเพื่อให้ได้มาซึ่งบริการ-ค่าจ้างเหมายามเฝ้า อบต. เดือน กันยายน 2557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</si>
  <si>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</si>
  <si>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</si>
  <si>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</si>
  <si>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</si>
  <si>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</si>
  <si>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บัญชีรายจ่ายรอจ่าย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</si>
  <si>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</si>
  <si>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</si>
  <si>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</si>
  <si>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</si>
  <si>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</si>
  <si>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 xml:space="preserve">            รวม</t>
  </si>
  <si>
    <t>หมายเหตุ 5  ประกอบรายงาน รับ - จ่าย เงินสด  ณ  วันที่  31  ตุลาคม  2557</t>
  </si>
  <si>
    <t>รายจ่ายรอจ่าย ( หมายเหตุ  5 )</t>
  </si>
  <si>
    <t>หมายเหตุ 2  ประกอบรายงาน รับ - จ่าย เงินสด  ณ  วันที่  31  ตุลาคม  2557</t>
  </si>
  <si>
    <t>ปีงบประมาณ  2558</t>
  </si>
  <si>
    <t>วันที่  1  ตุลาคม   2557  ถึง   31  ตุลาคม  2557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</si>
  <si>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</si>
  <si>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</si>
  <si>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</si>
  <si>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ยอดเงินคงเหลือตามรายงานธนาคาร ณ วันที่  31  ตุลาคม 2557</t>
  </si>
  <si>
    <t>22 ต.ค. 57</t>
  </si>
  <si>
    <t>07270954</t>
  </si>
  <si>
    <t>24 ต.ค. 57</t>
  </si>
  <si>
    <t>07270955</t>
  </si>
  <si>
    <t>07270956</t>
  </si>
  <si>
    <t>07270957</t>
  </si>
  <si>
    <t>28 ต.ค. 57</t>
  </si>
  <si>
    <t>07270961</t>
  </si>
  <si>
    <t>31 ต.ค. 57</t>
  </si>
  <si>
    <t>07270966</t>
  </si>
  <si>
    <t>07270967</t>
  </si>
  <si>
    <t>07270968</t>
  </si>
  <si>
    <t>(ลงชื่อ)..........................................................วันที่  31 ตุลาคม 2557</t>
  </si>
  <si>
    <t>(ลงชื่อ)....................................วันที่  31  ตุลาคม  2557</t>
  </si>
  <si>
    <t>ยอดเงินคงเหลือตามบัญชี  ณ  วันที่  31  ตุลาคม   2557</t>
  </si>
  <si>
    <t>ธนาคาร  กรุงไทย  (ออมทรัพย์)  สาขาโชคชัย</t>
  </si>
  <si>
    <t>เลขที่บัญชี 344-0-48430-0</t>
  </si>
  <si>
    <t>เดือน  ตุลาคม  2557</t>
  </si>
  <si>
    <r>
      <t>หัก</t>
    </r>
    <r>
      <rPr>
        <b/>
        <sz val="16"/>
        <rFont val="Angsana New"/>
        <family val="1"/>
      </rPr>
      <t xml:space="preserve">  เงินรายได้ที่ยังไม่ได้รับ</t>
    </r>
  </si>
  <si>
    <t>421000</t>
  </si>
  <si>
    <t>610300</t>
  </si>
  <si>
    <t>00252</t>
  </si>
  <si>
    <t>00250</t>
  </si>
  <si>
    <t>5 ก.ย. 57</t>
  </si>
  <si>
    <t>06518233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</si>
</sst>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3" fontId="14" fillId="0" borderId="12" xfId="33" applyNumberFormat="1" applyFont="1" applyBorder="1" applyAlignment="1">
      <alignment/>
    </xf>
    <xf numFmtId="49" fontId="14" fillId="0" borderId="4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left"/>
    </xf>
    <xf numFmtId="0" fontId="4" fillId="0" borderId="0" xfId="0" applyFont="1" applyAlignment="1">
      <alignment horizontal="center"/>
    </xf>
    <xf numFmtId="194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4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2" fillId="0" borderId="0" xfId="0" applyFont="1" applyAlignment="1">
      <alignment horizontal="left"/>
    </xf>
    <xf numFmtId="49" fontId="14" fillId="0" borderId="2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0"/>
  <sheetViews>
    <sheetView tabSelected="1" view="pageBreakPreview" zoomScaleSheetLayoutView="100" workbookViewId="0" topLeftCell="A52">
      <selection activeCell="A63" sqref="A63"/>
    </sheetView>
  </sheetViews>
  <sheetFormatPr defaultColWidth="9.140625" defaultRowHeight="16.5" customHeight="1"/>
  <cols>
    <col min="1" max="1" width="65.28125" style="201" customWidth="1"/>
    <col min="2" max="2" width="6.57421875" style="214" customWidth="1"/>
    <col min="3" max="3" width="13.28125" style="19" customWidth="1"/>
    <col min="4" max="4" width="14.28125" style="15" customWidth="1"/>
    <col min="5" max="5" width="10.8515625" style="201" bestFit="1" customWidth="1"/>
    <col min="6" max="6" width="11.140625" style="201" bestFit="1" customWidth="1"/>
    <col min="7" max="16384" width="9.140625" style="201" customWidth="1"/>
  </cols>
  <sheetData>
    <row r="1" spans="1:4" ht="16.5" customHeight="1">
      <c r="A1" s="269" t="s">
        <v>0</v>
      </c>
      <c r="B1" s="269"/>
      <c r="C1" s="269"/>
      <c r="D1" s="269"/>
    </row>
    <row r="2" spans="1:4" ht="16.5" customHeight="1">
      <c r="A2" s="269" t="s">
        <v>1</v>
      </c>
      <c r="B2" s="269"/>
      <c r="C2" s="269"/>
      <c r="D2" s="269"/>
    </row>
    <row r="3" spans="1:4" ht="16.5" customHeight="1">
      <c r="A3" s="269" t="s">
        <v>400</v>
      </c>
      <c r="B3" s="269"/>
      <c r="C3" s="269"/>
      <c r="D3" s="269"/>
    </row>
    <row r="4" spans="1:4" s="204" customFormat="1" ht="16.5" customHeight="1">
      <c r="A4" s="202" t="s">
        <v>2</v>
      </c>
      <c r="B4" s="203" t="s">
        <v>3</v>
      </c>
      <c r="C4" s="80" t="s">
        <v>4</v>
      </c>
      <c r="D4" s="7" t="s">
        <v>5</v>
      </c>
    </row>
    <row r="5" spans="1:4" s="204" customFormat="1" ht="16.5" customHeight="1">
      <c r="A5" s="205" t="s">
        <v>97</v>
      </c>
      <c r="B5" s="206" t="s">
        <v>387</v>
      </c>
      <c r="C5" s="142">
        <v>8479</v>
      </c>
      <c r="D5" s="140"/>
    </row>
    <row r="6" spans="1:4" s="204" customFormat="1" ht="16.5" customHeight="1">
      <c r="A6" s="207" t="s">
        <v>388</v>
      </c>
      <c r="B6" s="208" t="s">
        <v>389</v>
      </c>
      <c r="C6" s="83">
        <v>6739150.37</v>
      </c>
      <c r="D6" s="140"/>
    </row>
    <row r="7" spans="1:4" ht="16.5" customHeight="1">
      <c r="A7" s="207" t="s">
        <v>76</v>
      </c>
      <c r="B7" s="208" t="s">
        <v>389</v>
      </c>
      <c r="C7" s="83">
        <v>7711911.33</v>
      </c>
      <c r="D7" s="140"/>
    </row>
    <row r="8" spans="1:4" ht="16.5" customHeight="1">
      <c r="A8" s="207" t="s">
        <v>77</v>
      </c>
      <c r="B8" s="208" t="s">
        <v>389</v>
      </c>
      <c r="C8" s="83">
        <v>133904.12</v>
      </c>
      <c r="D8" s="82"/>
    </row>
    <row r="9" spans="1:4" ht="16.5" customHeight="1">
      <c r="A9" s="207" t="s">
        <v>402</v>
      </c>
      <c r="B9" s="208" t="s">
        <v>389</v>
      </c>
      <c r="C9" s="83">
        <v>1270.67</v>
      </c>
      <c r="D9" s="82"/>
    </row>
    <row r="10" spans="1:4" ht="16.5" customHeight="1">
      <c r="A10" s="207" t="s">
        <v>401</v>
      </c>
      <c r="B10" s="208" t="s">
        <v>389</v>
      </c>
      <c r="C10" s="83">
        <v>5000000</v>
      </c>
      <c r="D10" s="82"/>
    </row>
    <row r="11" spans="1:4" ht="16.5" customHeight="1">
      <c r="A11" s="207" t="s">
        <v>78</v>
      </c>
      <c r="B11" s="208" t="s">
        <v>390</v>
      </c>
      <c r="C11" s="83">
        <v>11668823.19</v>
      </c>
      <c r="D11" s="82"/>
    </row>
    <row r="12" spans="1:4" ht="16.5" customHeight="1">
      <c r="A12" s="207" t="s">
        <v>32</v>
      </c>
      <c r="B12" s="208" t="s">
        <v>279</v>
      </c>
      <c r="C12" s="83">
        <v>148324</v>
      </c>
      <c r="D12" s="82"/>
    </row>
    <row r="13" spans="1:4" ht="16.5" customHeight="1">
      <c r="A13" s="207" t="s">
        <v>355</v>
      </c>
      <c r="B13" s="208" t="s">
        <v>285</v>
      </c>
      <c r="C13" s="83">
        <v>243060</v>
      </c>
      <c r="D13" s="82"/>
    </row>
    <row r="14" spans="1:4" ht="16.5" customHeight="1">
      <c r="A14" s="207" t="s">
        <v>356</v>
      </c>
      <c r="B14" s="208" t="s">
        <v>292</v>
      </c>
      <c r="C14" s="83">
        <v>339580</v>
      </c>
      <c r="D14" s="82"/>
    </row>
    <row r="15" spans="1:4" ht="16.5" customHeight="1">
      <c r="A15" s="207" t="s">
        <v>357</v>
      </c>
      <c r="B15" s="208" t="s">
        <v>292</v>
      </c>
      <c r="C15" s="83">
        <v>12260</v>
      </c>
      <c r="D15" s="82"/>
    </row>
    <row r="16" spans="1:4" ht="16.5" customHeight="1">
      <c r="A16" s="207" t="s">
        <v>358</v>
      </c>
      <c r="B16" s="208" t="s">
        <v>292</v>
      </c>
      <c r="C16" s="83">
        <v>103385</v>
      </c>
      <c r="D16" s="82"/>
    </row>
    <row r="17" spans="1:4" ht="16.5" customHeight="1">
      <c r="A17" s="207" t="s">
        <v>6</v>
      </c>
      <c r="B17" s="208" t="s">
        <v>301</v>
      </c>
      <c r="C17" s="83">
        <v>27320</v>
      </c>
      <c r="D17" s="82"/>
    </row>
    <row r="18" spans="1:4" ht="16.5" customHeight="1">
      <c r="A18" s="207" t="s">
        <v>7</v>
      </c>
      <c r="B18" s="208" t="s">
        <v>307</v>
      </c>
      <c r="C18" s="83">
        <v>51452</v>
      </c>
      <c r="D18" s="82"/>
    </row>
    <row r="19" spans="1:4" ht="16.5" customHeight="1">
      <c r="A19" s="207" t="s">
        <v>8</v>
      </c>
      <c r="B19" s="208" t="s">
        <v>312</v>
      </c>
      <c r="C19" s="83">
        <v>65582</v>
      </c>
      <c r="D19" s="82"/>
    </row>
    <row r="20" spans="1:4" ht="16.5" customHeight="1">
      <c r="A20" s="207" t="s">
        <v>9</v>
      </c>
      <c r="B20" s="208" t="s">
        <v>325</v>
      </c>
      <c r="C20" s="83">
        <v>20467.57</v>
      </c>
      <c r="D20" s="82"/>
    </row>
    <row r="21" spans="1:4" ht="16.5" customHeight="1">
      <c r="A21" s="205" t="s">
        <v>56</v>
      </c>
      <c r="B21" s="208" t="s">
        <v>331</v>
      </c>
      <c r="C21" s="83">
        <v>35000</v>
      </c>
      <c r="D21" s="82"/>
    </row>
    <row r="22" spans="1:4" ht="16.5" customHeight="1">
      <c r="A22" s="207" t="s">
        <v>359</v>
      </c>
      <c r="B22" s="208" t="s">
        <v>391</v>
      </c>
      <c r="C22" s="83">
        <v>4168.76</v>
      </c>
      <c r="D22" s="82"/>
    </row>
    <row r="23" spans="1:4" ht="16.5" customHeight="1">
      <c r="A23" s="205" t="s">
        <v>396</v>
      </c>
      <c r="B23" s="208" t="s">
        <v>372</v>
      </c>
      <c r="C23" s="83">
        <v>1000560</v>
      </c>
      <c r="D23" s="82"/>
    </row>
    <row r="24" spans="1:4" ht="16.5" customHeight="1">
      <c r="A24" s="205" t="s">
        <v>126</v>
      </c>
      <c r="B24" s="208" t="s">
        <v>374</v>
      </c>
      <c r="C24" s="83">
        <v>694800</v>
      </c>
      <c r="D24" s="82"/>
    </row>
    <row r="25" spans="1:4" ht="16.5" customHeight="1">
      <c r="A25" s="205" t="s">
        <v>11</v>
      </c>
      <c r="B25" s="208" t="s">
        <v>392</v>
      </c>
      <c r="C25" s="83"/>
      <c r="D25" s="82">
        <v>1280628.02</v>
      </c>
    </row>
    <row r="26" spans="1:4" ht="16.5" customHeight="1">
      <c r="A26" s="207" t="s">
        <v>399</v>
      </c>
      <c r="B26" s="208" t="s">
        <v>398</v>
      </c>
      <c r="C26" s="83"/>
      <c r="D26" s="141">
        <v>64135</v>
      </c>
    </row>
    <row r="27" spans="1:4" ht="16.5" customHeight="1">
      <c r="A27" s="207" t="s">
        <v>361</v>
      </c>
      <c r="B27" s="208" t="s">
        <v>397</v>
      </c>
      <c r="C27" s="83"/>
      <c r="D27" s="139">
        <v>340000</v>
      </c>
    </row>
    <row r="28" spans="1:4" ht="16.5" customHeight="1">
      <c r="A28" s="207" t="s">
        <v>362</v>
      </c>
      <c r="B28" s="208" t="s">
        <v>373</v>
      </c>
      <c r="C28" s="83"/>
      <c r="D28" s="139">
        <v>1744680</v>
      </c>
    </row>
    <row r="29" spans="1:4" ht="16.5" customHeight="1">
      <c r="A29" s="207" t="s">
        <v>10</v>
      </c>
      <c r="B29" s="208" t="s">
        <v>393</v>
      </c>
      <c r="C29" s="83"/>
      <c r="D29" s="82">
        <v>16920774.54</v>
      </c>
    </row>
    <row r="30" spans="1:4" ht="16.5" customHeight="1">
      <c r="A30" s="207" t="s">
        <v>136</v>
      </c>
      <c r="B30" s="208" t="s">
        <v>394</v>
      </c>
      <c r="C30" s="83"/>
      <c r="D30" s="82">
        <v>12809280.45</v>
      </c>
    </row>
    <row r="31" spans="1:4" ht="16.5" customHeight="1">
      <c r="A31" s="205" t="s">
        <v>405</v>
      </c>
      <c r="B31" s="208"/>
      <c r="C31" s="83"/>
      <c r="D31" s="82">
        <v>800000</v>
      </c>
    </row>
    <row r="32" spans="1:4" ht="16.5" customHeight="1">
      <c r="A32" s="207" t="s">
        <v>406</v>
      </c>
      <c r="B32" s="208"/>
      <c r="C32" s="83"/>
      <c r="D32" s="82">
        <v>50000</v>
      </c>
    </row>
    <row r="33" spans="1:4" ht="16.5" customHeight="1">
      <c r="A33" s="207"/>
      <c r="B33" s="208"/>
      <c r="C33" s="83"/>
      <c r="D33" s="82"/>
    </row>
    <row r="34" spans="1:4" ht="16.5" customHeight="1">
      <c r="A34" s="207"/>
      <c r="B34" s="208"/>
      <c r="C34" s="83"/>
      <c r="D34" s="82"/>
    </row>
    <row r="35" spans="1:4" ht="16.5" customHeight="1">
      <c r="A35" s="207"/>
      <c r="B35" s="208"/>
      <c r="C35" s="83"/>
      <c r="D35" s="82"/>
    </row>
    <row r="36" spans="1:4" ht="16.5" customHeight="1">
      <c r="A36" s="207"/>
      <c r="B36" s="208"/>
      <c r="C36" s="83"/>
      <c r="D36" s="82"/>
    </row>
    <row r="37" spans="1:4" ht="16.5" customHeight="1">
      <c r="A37" s="207"/>
      <c r="B37" s="208"/>
      <c r="C37" s="83"/>
      <c r="D37" s="82"/>
    </row>
    <row r="38" spans="1:4" ht="16.5" customHeight="1">
      <c r="A38" s="207"/>
      <c r="B38" s="209"/>
      <c r="C38" s="83"/>
      <c r="D38" s="83"/>
    </row>
    <row r="39" spans="2:5" ht="16.5" customHeight="1">
      <c r="B39" s="210"/>
      <c r="C39" s="13">
        <f>SUM(C5:C38)</f>
        <v>34009498.010000005</v>
      </c>
      <c r="D39" s="14">
        <f>SUM(D25:D38)</f>
        <v>34009498.01</v>
      </c>
      <c r="E39" s="211"/>
    </row>
    <row r="40" spans="2:5" ht="16.5" customHeight="1">
      <c r="B40" s="210"/>
      <c r="C40" s="258"/>
      <c r="E40" s="207"/>
    </row>
    <row r="41" spans="1:4" ht="16.5" customHeight="1">
      <c r="A41" s="271" t="s">
        <v>129</v>
      </c>
      <c r="B41" s="271"/>
      <c r="C41" s="271"/>
      <c r="D41" s="271"/>
    </row>
    <row r="42" spans="1:4" ht="16.5" customHeight="1">
      <c r="A42" s="271" t="s">
        <v>130</v>
      </c>
      <c r="B42" s="271"/>
      <c r="C42" s="271"/>
      <c r="D42" s="271"/>
    </row>
    <row r="43" spans="1:4" ht="16.5" customHeight="1">
      <c r="A43" s="212"/>
      <c r="B43" s="212"/>
      <c r="C43" s="212"/>
      <c r="D43" s="212"/>
    </row>
    <row r="44" spans="1:4" ht="16.5" customHeight="1">
      <c r="A44" s="213" t="s">
        <v>128</v>
      </c>
      <c r="B44" s="212"/>
      <c r="C44" s="17"/>
      <c r="D44" s="17"/>
    </row>
    <row r="45" spans="1:4" ht="16.5" customHeight="1">
      <c r="A45" s="204" t="s">
        <v>127</v>
      </c>
      <c r="B45" s="204"/>
      <c r="C45" s="8"/>
      <c r="D45" s="8"/>
    </row>
    <row r="46" spans="1:4" ht="16.5" customHeight="1">
      <c r="A46" s="204" t="s">
        <v>15</v>
      </c>
      <c r="B46" s="204"/>
      <c r="C46" s="8"/>
      <c r="D46" s="8"/>
    </row>
    <row r="47" spans="1:4" ht="16.5" customHeight="1">
      <c r="A47" s="200" t="s">
        <v>408</v>
      </c>
      <c r="B47" s="200"/>
      <c r="C47" s="128"/>
      <c r="D47" s="128"/>
    </row>
    <row r="48" spans="1:4" ht="16.5" customHeight="1">
      <c r="A48" s="200"/>
      <c r="B48" s="200"/>
      <c r="C48" s="128"/>
      <c r="D48" s="128"/>
    </row>
    <row r="49" spans="1:4" ht="16.5" customHeight="1">
      <c r="A49" s="200"/>
      <c r="B49" s="200"/>
      <c r="C49" s="128"/>
      <c r="D49" s="128"/>
    </row>
    <row r="50" spans="1:4" ht="16.5" customHeight="1">
      <c r="A50" s="200"/>
      <c r="B50" s="200"/>
      <c r="C50" s="128"/>
      <c r="D50" s="128"/>
    </row>
    <row r="51" spans="1:4" ht="16.5" customHeight="1">
      <c r="A51" s="200"/>
      <c r="B51" s="200"/>
      <c r="C51" s="128"/>
      <c r="D51" s="128"/>
    </row>
    <row r="52" spans="1:4" ht="16.5" customHeight="1">
      <c r="A52" s="200"/>
      <c r="B52" s="200"/>
      <c r="C52" s="128"/>
      <c r="D52" s="128"/>
    </row>
    <row r="53" spans="1:4" ht="16.5" customHeight="1">
      <c r="A53" s="270" t="s">
        <v>403</v>
      </c>
      <c r="B53" s="270"/>
      <c r="C53" s="270"/>
      <c r="D53" s="270"/>
    </row>
    <row r="54" spans="1:4" ht="16.5" customHeight="1">
      <c r="A54" s="270" t="s">
        <v>17</v>
      </c>
      <c r="B54" s="270"/>
      <c r="C54" s="270"/>
      <c r="D54" s="270"/>
    </row>
    <row r="55" spans="1:4" ht="16.5" customHeight="1">
      <c r="A55" s="213" t="s">
        <v>18</v>
      </c>
      <c r="B55" s="204"/>
      <c r="C55" s="8"/>
      <c r="D55" s="88">
        <v>310093</v>
      </c>
    </row>
    <row r="56" spans="1:4" ht="16.5" customHeight="1">
      <c r="A56" s="213" t="s">
        <v>407</v>
      </c>
      <c r="B56" s="204"/>
      <c r="C56" s="8"/>
      <c r="D56" s="88">
        <v>285800</v>
      </c>
    </row>
    <row r="57" spans="1:4" ht="16.5" customHeight="1">
      <c r="A57" s="213" t="s">
        <v>404</v>
      </c>
      <c r="B57" s="204"/>
      <c r="C57" s="8"/>
      <c r="D57" s="88">
        <v>6510.4</v>
      </c>
    </row>
    <row r="58" spans="1:4" ht="16.5" customHeight="1">
      <c r="A58" s="201" t="s">
        <v>19</v>
      </c>
      <c r="D58" s="15">
        <v>7812.48</v>
      </c>
    </row>
    <row r="59" spans="1:4" ht="16.5" customHeight="1">
      <c r="A59" s="213" t="s">
        <v>79</v>
      </c>
      <c r="D59" s="15">
        <v>1134464.12</v>
      </c>
    </row>
    <row r="60" spans="1:4" ht="16.5" customHeight="1">
      <c r="A60" s="216"/>
      <c r="D60" s="20"/>
    </row>
    <row r="61" spans="1:4" ht="16.5" customHeight="1">
      <c r="A61" s="216" t="s">
        <v>20</v>
      </c>
      <c r="D61" s="20">
        <f>SUM(D55:D60)</f>
        <v>1744680</v>
      </c>
    </row>
    <row r="62" spans="1:4" ht="16.5" customHeight="1">
      <c r="A62" s="216"/>
      <c r="D62" s="20"/>
    </row>
    <row r="63" spans="1:4" ht="16.5" customHeight="1">
      <c r="A63" s="216"/>
      <c r="D63" s="20"/>
    </row>
    <row r="64" spans="1:4" ht="16.5" customHeight="1">
      <c r="A64" s="216"/>
      <c r="D64" s="20"/>
    </row>
    <row r="65" spans="1:4" ht="16.5" customHeight="1">
      <c r="A65" s="216"/>
      <c r="D65" s="20"/>
    </row>
    <row r="66" spans="1:4" ht="16.5" customHeight="1">
      <c r="A66" s="216"/>
      <c r="D66" s="20"/>
    </row>
    <row r="67" spans="1:4" ht="16.5" customHeight="1">
      <c r="A67" s="204"/>
      <c r="D67" s="20"/>
    </row>
    <row r="68" spans="2:4" ht="16.5" customHeight="1">
      <c r="B68" s="201"/>
      <c r="C68" s="6"/>
      <c r="D68" s="6"/>
    </row>
    <row r="69" spans="2:4" ht="16.5" customHeight="1">
      <c r="B69" s="201"/>
      <c r="C69" s="6"/>
      <c r="D69" s="6"/>
    </row>
    <row r="70" spans="2:4" ht="16.5" customHeight="1">
      <c r="B70" s="201"/>
      <c r="C70" s="6"/>
      <c r="D70" s="6"/>
    </row>
    <row r="71" spans="2:4" ht="16.5" customHeight="1">
      <c r="B71" s="201"/>
      <c r="C71" s="6"/>
      <c r="D71" s="6"/>
    </row>
    <row r="72" spans="2:4" ht="16.5" customHeight="1">
      <c r="B72" s="201"/>
      <c r="C72" s="6"/>
      <c r="D72" s="6"/>
    </row>
    <row r="73" spans="2:4" ht="16.5" customHeight="1">
      <c r="B73" s="201"/>
      <c r="C73" s="6"/>
      <c r="D73" s="6"/>
    </row>
    <row r="74" spans="2:4" ht="16.5" customHeight="1">
      <c r="B74" s="201"/>
      <c r="C74" s="6"/>
      <c r="D74" s="6"/>
    </row>
    <row r="75" spans="2:4" ht="16.5" customHeight="1">
      <c r="B75" s="201"/>
      <c r="C75" s="6"/>
      <c r="D75" s="6"/>
    </row>
    <row r="76" spans="2:4" ht="16.5" customHeight="1">
      <c r="B76" s="201"/>
      <c r="C76" s="6"/>
      <c r="D76" s="6"/>
    </row>
    <row r="77" spans="2:4" ht="16.5" customHeight="1">
      <c r="B77" s="201"/>
      <c r="C77" s="6"/>
      <c r="D77" s="6"/>
    </row>
    <row r="78" spans="2:4" ht="16.5" customHeight="1">
      <c r="B78" s="201"/>
      <c r="C78" s="6"/>
      <c r="D78" s="6"/>
    </row>
    <row r="79" spans="2:4" ht="16.5" customHeight="1">
      <c r="B79" s="201"/>
      <c r="C79" s="6"/>
      <c r="D79" s="6"/>
    </row>
    <row r="80" spans="2:4" ht="16.5" customHeight="1">
      <c r="B80" s="201"/>
      <c r="C80" s="6"/>
      <c r="D80" s="6"/>
    </row>
    <row r="81" spans="2:4" ht="16.5" customHeight="1">
      <c r="B81" s="201"/>
      <c r="C81" s="6"/>
      <c r="D81" s="6"/>
    </row>
    <row r="82" spans="2:4" ht="16.5" customHeight="1">
      <c r="B82" s="201"/>
      <c r="C82" s="6"/>
      <c r="D82" s="6"/>
    </row>
    <row r="83" spans="2:4" ht="16.5" customHeight="1">
      <c r="B83" s="201"/>
      <c r="C83" s="6"/>
      <c r="D83" s="6"/>
    </row>
    <row r="84" spans="2:4" ht="16.5" customHeight="1">
      <c r="B84" s="201"/>
      <c r="C84" s="6"/>
      <c r="D84" s="6"/>
    </row>
    <row r="85" spans="2:4" ht="16.5" customHeight="1">
      <c r="B85" s="201"/>
      <c r="C85" s="6"/>
      <c r="D85" s="6"/>
    </row>
    <row r="86" spans="2:4" ht="16.5" customHeight="1">
      <c r="B86" s="201"/>
      <c r="C86" s="6"/>
      <c r="D86" s="6"/>
    </row>
    <row r="87" spans="2:4" ht="16.5" customHeight="1">
      <c r="B87" s="201"/>
      <c r="C87" s="6"/>
      <c r="D87" s="6"/>
    </row>
    <row r="88" spans="2:4" ht="16.5" customHeight="1">
      <c r="B88" s="201"/>
      <c r="C88" s="6"/>
      <c r="D88" s="6"/>
    </row>
    <row r="89" spans="2:4" ht="16.5" customHeight="1">
      <c r="B89" s="201"/>
      <c r="C89" s="6"/>
      <c r="D89" s="6"/>
    </row>
    <row r="90" spans="2:4" ht="16.5" customHeight="1">
      <c r="B90" s="201"/>
      <c r="C90" s="6"/>
      <c r="D90" s="6"/>
    </row>
    <row r="91" spans="2:4" ht="16.5" customHeight="1">
      <c r="B91" s="201"/>
      <c r="C91" s="6"/>
      <c r="D91" s="6"/>
    </row>
    <row r="92" spans="2:4" ht="16.5" customHeight="1">
      <c r="B92" s="201"/>
      <c r="C92" s="6"/>
      <c r="D92" s="6"/>
    </row>
    <row r="93" spans="2:4" ht="16.5" customHeight="1">
      <c r="B93" s="201"/>
      <c r="C93" s="6"/>
      <c r="D93" s="6"/>
    </row>
    <row r="94" spans="2:4" ht="16.5" customHeight="1">
      <c r="B94" s="201"/>
      <c r="C94" s="6"/>
      <c r="D94" s="6"/>
    </row>
    <row r="95" spans="2:4" ht="16.5" customHeight="1">
      <c r="B95" s="201"/>
      <c r="C95" s="6"/>
      <c r="D95" s="6"/>
    </row>
    <row r="96" spans="2:4" ht="16.5" customHeight="1">
      <c r="B96" s="201"/>
      <c r="C96" s="6"/>
      <c r="D96" s="6"/>
    </row>
    <row r="97" spans="2:4" ht="16.5" customHeight="1">
      <c r="B97" s="201"/>
      <c r="C97" s="6"/>
      <c r="D97" s="6"/>
    </row>
    <row r="98" spans="2:4" ht="16.5" customHeight="1">
      <c r="B98" s="201"/>
      <c r="C98" s="6"/>
      <c r="D98" s="6"/>
    </row>
    <row r="99" spans="2:4" ht="16.5" customHeight="1">
      <c r="B99" s="201"/>
      <c r="C99" s="6"/>
      <c r="D99" s="6"/>
    </row>
    <row r="100" spans="2:4" ht="16.5" customHeight="1">
      <c r="B100" s="201"/>
      <c r="C100" s="6"/>
      <c r="D100" s="6"/>
    </row>
    <row r="101" spans="2:4" ht="16.5" customHeight="1">
      <c r="B101" s="201"/>
      <c r="C101" s="6"/>
      <c r="D101" s="6"/>
    </row>
    <row r="102" spans="2:4" ht="16.5" customHeight="1">
      <c r="B102" s="201"/>
      <c r="C102" s="6"/>
      <c r="D102" s="6"/>
    </row>
    <row r="103" spans="2:4" ht="16.5" customHeight="1">
      <c r="B103" s="201"/>
      <c r="C103" s="6"/>
      <c r="D103" s="6"/>
    </row>
    <row r="104" spans="2:4" ht="16.5" customHeight="1">
      <c r="B104" s="201"/>
      <c r="C104" s="6"/>
      <c r="D104" s="6"/>
    </row>
    <row r="105" spans="2:4" ht="16.5" customHeight="1">
      <c r="B105" s="201"/>
      <c r="C105" s="6"/>
      <c r="D105" s="6"/>
    </row>
    <row r="106" spans="2:4" ht="16.5" customHeight="1">
      <c r="B106" s="201"/>
      <c r="C106" s="6"/>
      <c r="D106" s="6"/>
    </row>
    <row r="107" spans="2:4" ht="16.5" customHeight="1">
      <c r="B107" s="201"/>
      <c r="C107" s="6"/>
      <c r="D107" s="6"/>
    </row>
    <row r="108" spans="2:4" ht="16.5" customHeight="1">
      <c r="B108" s="201"/>
      <c r="C108" s="6"/>
      <c r="D108" s="6"/>
    </row>
    <row r="109" spans="2:4" ht="16.5" customHeight="1">
      <c r="B109" s="201"/>
      <c r="C109" s="6"/>
      <c r="D109" s="6"/>
    </row>
    <row r="110" spans="2:4" ht="16.5" customHeight="1">
      <c r="B110" s="201"/>
      <c r="C110" s="6"/>
      <c r="D110" s="6"/>
    </row>
    <row r="111" spans="2:4" ht="16.5" customHeight="1">
      <c r="B111" s="201"/>
      <c r="C111" s="6"/>
      <c r="D111" s="6"/>
    </row>
    <row r="112" spans="2:4" ht="16.5" customHeight="1">
      <c r="B112" s="201"/>
      <c r="C112" s="6"/>
      <c r="D112" s="6"/>
    </row>
    <row r="113" spans="2:4" ht="16.5" customHeight="1">
      <c r="B113" s="201"/>
      <c r="C113" s="6"/>
      <c r="D113" s="6"/>
    </row>
    <row r="114" spans="2:4" ht="16.5" customHeight="1">
      <c r="B114" s="201"/>
      <c r="C114" s="6"/>
      <c r="D114" s="6"/>
    </row>
    <row r="115" spans="2:4" ht="16.5" customHeight="1">
      <c r="B115" s="201"/>
      <c r="C115" s="6"/>
      <c r="D115" s="6"/>
    </row>
    <row r="116" spans="2:4" ht="16.5" customHeight="1">
      <c r="B116" s="201"/>
      <c r="C116" s="6"/>
      <c r="D116" s="6"/>
    </row>
    <row r="117" spans="2:4" ht="16.5" customHeight="1">
      <c r="B117" s="201"/>
      <c r="C117" s="6"/>
      <c r="D117" s="6"/>
    </row>
    <row r="118" spans="2:4" ht="16.5" customHeight="1">
      <c r="B118" s="201"/>
      <c r="C118" s="6"/>
      <c r="D118" s="6"/>
    </row>
    <row r="119" spans="2:4" ht="16.5" customHeight="1">
      <c r="B119" s="201"/>
      <c r="C119" s="6"/>
      <c r="D119" s="6"/>
    </row>
    <row r="120" spans="2:4" ht="16.5" customHeight="1">
      <c r="B120" s="201"/>
      <c r="C120" s="6"/>
      <c r="D120" s="6"/>
    </row>
    <row r="121" spans="2:4" ht="16.5" customHeight="1">
      <c r="B121" s="201"/>
      <c r="C121" s="6"/>
      <c r="D121" s="6"/>
    </row>
    <row r="122" spans="2:4" ht="16.5" customHeight="1">
      <c r="B122" s="201"/>
      <c r="C122" s="6"/>
      <c r="D122" s="6"/>
    </row>
    <row r="123" spans="2:4" ht="16.5" customHeight="1">
      <c r="B123" s="201"/>
      <c r="C123" s="6"/>
      <c r="D123" s="6"/>
    </row>
    <row r="124" spans="2:4" ht="16.5" customHeight="1">
      <c r="B124" s="201"/>
      <c r="C124" s="6"/>
      <c r="D124" s="6"/>
    </row>
    <row r="125" spans="2:4" ht="16.5" customHeight="1">
      <c r="B125" s="201"/>
      <c r="C125" s="6"/>
      <c r="D125" s="6"/>
    </row>
    <row r="126" spans="2:4" ht="16.5" customHeight="1">
      <c r="B126" s="201"/>
      <c r="C126" s="6"/>
      <c r="D126" s="6"/>
    </row>
    <row r="127" spans="2:4" ht="16.5" customHeight="1">
      <c r="B127" s="201"/>
      <c r="C127" s="6"/>
      <c r="D127" s="6"/>
    </row>
    <row r="128" spans="2:4" ht="16.5" customHeight="1">
      <c r="B128" s="201"/>
      <c r="C128" s="6"/>
      <c r="D128" s="6"/>
    </row>
    <row r="129" spans="2:4" ht="16.5" customHeight="1">
      <c r="B129" s="201"/>
      <c r="C129" s="6"/>
      <c r="D129" s="6"/>
    </row>
    <row r="130" spans="2:4" ht="16.5" customHeight="1">
      <c r="B130" s="201"/>
      <c r="C130" s="6"/>
      <c r="D130" s="6"/>
    </row>
    <row r="131" spans="2:4" ht="16.5" customHeight="1">
      <c r="B131" s="201"/>
      <c r="C131" s="6"/>
      <c r="D131" s="6"/>
    </row>
    <row r="132" spans="2:4" ht="16.5" customHeight="1">
      <c r="B132" s="201"/>
      <c r="C132" s="6"/>
      <c r="D132" s="6"/>
    </row>
    <row r="133" spans="2:4" ht="16.5" customHeight="1">
      <c r="B133" s="201"/>
      <c r="C133" s="6"/>
      <c r="D133" s="6"/>
    </row>
    <row r="134" spans="2:4" ht="16.5" customHeight="1">
      <c r="B134" s="201"/>
      <c r="C134" s="6"/>
      <c r="D134" s="6"/>
    </row>
    <row r="135" spans="2:4" ht="16.5" customHeight="1">
      <c r="B135" s="201"/>
      <c r="C135" s="6"/>
      <c r="D135" s="6"/>
    </row>
    <row r="136" spans="2:4" ht="16.5" customHeight="1">
      <c r="B136" s="201"/>
      <c r="C136" s="6"/>
      <c r="D136" s="6"/>
    </row>
    <row r="137" spans="2:4" ht="16.5" customHeight="1">
      <c r="B137" s="201"/>
      <c r="C137" s="6"/>
      <c r="D137" s="6"/>
    </row>
    <row r="138" spans="2:4" ht="16.5" customHeight="1">
      <c r="B138" s="201"/>
      <c r="C138" s="6"/>
      <c r="D138" s="6"/>
    </row>
    <row r="139" spans="2:4" ht="16.5" customHeight="1">
      <c r="B139" s="201"/>
      <c r="C139" s="6"/>
      <c r="D139" s="6"/>
    </row>
    <row r="140" spans="2:4" ht="16.5" customHeight="1">
      <c r="B140" s="201"/>
      <c r="C140" s="6"/>
      <c r="D140" s="6"/>
    </row>
    <row r="141" spans="2:4" ht="16.5" customHeight="1">
      <c r="B141" s="201"/>
      <c r="C141" s="6"/>
      <c r="D141" s="6"/>
    </row>
    <row r="142" spans="2:4" ht="16.5" customHeight="1">
      <c r="B142" s="201"/>
      <c r="C142" s="6"/>
      <c r="D142" s="6"/>
    </row>
    <row r="143" spans="2:4" ht="16.5" customHeight="1">
      <c r="B143" s="201"/>
      <c r="C143" s="6"/>
      <c r="D143" s="6"/>
    </row>
    <row r="144" spans="2:4" ht="16.5" customHeight="1">
      <c r="B144" s="201"/>
      <c r="C144" s="6"/>
      <c r="D144" s="6"/>
    </row>
    <row r="145" spans="2:4" ht="16.5" customHeight="1">
      <c r="B145" s="201"/>
      <c r="C145" s="6"/>
      <c r="D145" s="6"/>
    </row>
    <row r="146" spans="2:4" ht="16.5" customHeight="1">
      <c r="B146" s="201"/>
      <c r="C146" s="6"/>
      <c r="D146" s="6"/>
    </row>
    <row r="147" spans="2:4" ht="16.5" customHeight="1">
      <c r="B147" s="201"/>
      <c r="C147" s="6"/>
      <c r="D147" s="6"/>
    </row>
    <row r="148" spans="2:4" ht="16.5" customHeight="1">
      <c r="B148" s="201"/>
      <c r="C148" s="6"/>
      <c r="D148" s="6"/>
    </row>
    <row r="149" spans="2:4" ht="16.5" customHeight="1">
      <c r="B149" s="201"/>
      <c r="C149" s="6"/>
      <c r="D149" s="6"/>
    </row>
    <row r="150" spans="2:4" ht="16.5" customHeight="1">
      <c r="B150" s="201"/>
      <c r="C150" s="6"/>
      <c r="D150" s="6"/>
    </row>
    <row r="151" spans="2:4" ht="16.5" customHeight="1">
      <c r="B151" s="201"/>
      <c r="C151" s="6"/>
      <c r="D151" s="6"/>
    </row>
    <row r="152" spans="2:4" ht="16.5" customHeight="1">
      <c r="B152" s="201"/>
      <c r="C152" s="6"/>
      <c r="D152" s="6"/>
    </row>
    <row r="153" spans="2:4" ht="16.5" customHeight="1">
      <c r="B153" s="201"/>
      <c r="C153" s="6"/>
      <c r="D153" s="6"/>
    </row>
    <row r="154" spans="2:4" ht="16.5" customHeight="1">
      <c r="B154" s="201"/>
      <c r="C154" s="6"/>
      <c r="D154" s="6"/>
    </row>
    <row r="155" spans="2:4" ht="16.5" customHeight="1">
      <c r="B155" s="201"/>
      <c r="C155" s="6"/>
      <c r="D155" s="6"/>
    </row>
    <row r="156" spans="2:4" ht="16.5" customHeight="1">
      <c r="B156" s="201"/>
      <c r="C156" s="6"/>
      <c r="D156" s="6"/>
    </row>
    <row r="157" spans="2:4" ht="16.5" customHeight="1">
      <c r="B157" s="201"/>
      <c r="C157" s="6"/>
      <c r="D157" s="6"/>
    </row>
    <row r="158" spans="2:4" ht="16.5" customHeight="1">
      <c r="B158" s="201"/>
      <c r="C158" s="6"/>
      <c r="D158" s="6"/>
    </row>
    <row r="159" spans="2:4" ht="16.5" customHeight="1">
      <c r="B159" s="201"/>
      <c r="C159" s="6"/>
      <c r="D159" s="6"/>
    </row>
    <row r="160" spans="2:4" ht="16.5" customHeight="1">
      <c r="B160" s="201"/>
      <c r="C160" s="6"/>
      <c r="D160" s="6"/>
    </row>
    <row r="161" spans="2:4" ht="16.5" customHeight="1">
      <c r="B161" s="201"/>
      <c r="C161" s="6"/>
      <c r="D161" s="6"/>
    </row>
    <row r="162" spans="2:4" ht="16.5" customHeight="1">
      <c r="B162" s="201"/>
      <c r="C162" s="6"/>
      <c r="D162" s="6"/>
    </row>
    <row r="163" spans="2:4" ht="16.5" customHeight="1">
      <c r="B163" s="201"/>
      <c r="C163" s="6"/>
      <c r="D163" s="6"/>
    </row>
    <row r="164" spans="2:4" ht="16.5" customHeight="1">
      <c r="B164" s="201"/>
      <c r="C164" s="6"/>
      <c r="D164" s="6"/>
    </row>
    <row r="165" spans="2:4" ht="16.5" customHeight="1">
      <c r="B165" s="201"/>
      <c r="C165" s="6"/>
      <c r="D165" s="6"/>
    </row>
    <row r="166" spans="2:4" ht="16.5" customHeight="1">
      <c r="B166" s="201"/>
      <c r="C166" s="6"/>
      <c r="D166" s="6"/>
    </row>
    <row r="167" spans="2:4" ht="16.5" customHeight="1">
      <c r="B167" s="201"/>
      <c r="C167" s="6"/>
      <c r="D167" s="6"/>
    </row>
    <row r="168" spans="2:4" ht="16.5" customHeight="1">
      <c r="B168" s="201"/>
      <c r="C168" s="6"/>
      <c r="D168" s="6"/>
    </row>
    <row r="169" spans="2:4" ht="16.5" customHeight="1">
      <c r="B169" s="201"/>
      <c r="C169" s="6"/>
      <c r="D169" s="6"/>
    </row>
    <row r="170" spans="2:4" ht="16.5" customHeight="1">
      <c r="B170" s="201"/>
      <c r="C170" s="6"/>
      <c r="D170" s="6"/>
    </row>
    <row r="171" spans="2:4" ht="16.5" customHeight="1">
      <c r="B171" s="201"/>
      <c r="C171" s="6"/>
      <c r="D171" s="6"/>
    </row>
    <row r="172" spans="2:4" ht="16.5" customHeight="1">
      <c r="B172" s="201"/>
      <c r="C172" s="6"/>
      <c r="D172" s="6"/>
    </row>
    <row r="173" spans="2:4" ht="16.5" customHeight="1">
      <c r="B173" s="201"/>
      <c r="C173" s="6"/>
      <c r="D173" s="6"/>
    </row>
    <row r="174" spans="2:4" ht="16.5" customHeight="1">
      <c r="B174" s="201"/>
      <c r="C174" s="6"/>
      <c r="D174" s="6"/>
    </row>
    <row r="175" spans="2:4" ht="16.5" customHeight="1">
      <c r="B175" s="201"/>
      <c r="C175" s="6"/>
      <c r="D175" s="6"/>
    </row>
    <row r="176" spans="2:4" ht="16.5" customHeight="1">
      <c r="B176" s="201"/>
      <c r="C176" s="6"/>
      <c r="D176" s="6"/>
    </row>
    <row r="177" spans="2:4" ht="16.5" customHeight="1">
      <c r="B177" s="201"/>
      <c r="C177" s="6"/>
      <c r="D177" s="6"/>
    </row>
    <row r="178" spans="2:4" ht="16.5" customHeight="1">
      <c r="B178" s="201"/>
      <c r="C178" s="6"/>
      <c r="D178" s="6"/>
    </row>
    <row r="179" spans="2:4" ht="16.5" customHeight="1">
      <c r="B179" s="201"/>
      <c r="C179" s="6"/>
      <c r="D179" s="6"/>
    </row>
    <row r="180" spans="2:4" ht="16.5" customHeight="1">
      <c r="B180" s="201"/>
      <c r="C180" s="6"/>
      <c r="D180" s="6"/>
    </row>
    <row r="181" spans="2:4" ht="16.5" customHeight="1">
      <c r="B181" s="201"/>
      <c r="C181" s="6"/>
      <c r="D181" s="6"/>
    </row>
    <row r="182" spans="2:4" ht="16.5" customHeight="1">
      <c r="B182" s="201"/>
      <c r="C182" s="6"/>
      <c r="D182" s="6"/>
    </row>
    <row r="183" spans="2:4" ht="16.5" customHeight="1">
      <c r="B183" s="201"/>
      <c r="C183" s="6"/>
      <c r="D183" s="6"/>
    </row>
    <row r="184" spans="2:4" ht="16.5" customHeight="1">
      <c r="B184" s="201"/>
      <c r="C184" s="6"/>
      <c r="D184" s="6"/>
    </row>
    <row r="185" spans="2:4" ht="16.5" customHeight="1">
      <c r="B185" s="201"/>
      <c r="C185" s="6"/>
      <c r="D185" s="6"/>
    </row>
    <row r="186" spans="2:4" ht="16.5" customHeight="1">
      <c r="B186" s="201"/>
      <c r="C186" s="6"/>
      <c r="D186" s="6"/>
    </row>
    <row r="187" spans="2:4" ht="16.5" customHeight="1">
      <c r="B187" s="201"/>
      <c r="C187" s="6"/>
      <c r="D187" s="6"/>
    </row>
    <row r="188" spans="2:4" ht="16.5" customHeight="1">
      <c r="B188" s="201"/>
      <c r="C188" s="6"/>
      <c r="D188" s="6"/>
    </row>
    <row r="189" spans="2:4" ht="16.5" customHeight="1">
      <c r="B189" s="201"/>
      <c r="C189" s="6"/>
      <c r="D189" s="6"/>
    </row>
    <row r="190" spans="2:4" ht="16.5" customHeight="1">
      <c r="B190" s="201"/>
      <c r="C190" s="6"/>
      <c r="D190" s="6"/>
    </row>
    <row r="191" spans="2:4" ht="16.5" customHeight="1">
      <c r="B191" s="201"/>
      <c r="C191" s="6"/>
      <c r="D191" s="6"/>
    </row>
    <row r="192" spans="2:4" ht="16.5" customHeight="1">
      <c r="B192" s="201"/>
      <c r="C192" s="6"/>
      <c r="D192" s="6"/>
    </row>
    <row r="193" spans="2:4" ht="16.5" customHeight="1">
      <c r="B193" s="201"/>
      <c r="C193" s="6"/>
      <c r="D193" s="6"/>
    </row>
    <row r="194" spans="2:4" ht="16.5" customHeight="1">
      <c r="B194" s="201"/>
      <c r="C194" s="6"/>
      <c r="D194" s="6"/>
    </row>
    <row r="195" spans="2:4" ht="16.5" customHeight="1">
      <c r="B195" s="201"/>
      <c r="C195" s="6"/>
      <c r="D195" s="6"/>
    </row>
    <row r="196" spans="2:4" ht="16.5" customHeight="1">
      <c r="B196" s="201"/>
      <c r="C196" s="6"/>
      <c r="D196" s="6"/>
    </row>
    <row r="197" spans="2:4" ht="16.5" customHeight="1">
      <c r="B197" s="201"/>
      <c r="C197" s="6"/>
      <c r="D197" s="6"/>
    </row>
    <row r="198" spans="2:4" ht="16.5" customHeight="1">
      <c r="B198" s="201"/>
      <c r="C198" s="6"/>
      <c r="D198" s="6"/>
    </row>
    <row r="199" spans="2:4" ht="16.5" customHeight="1">
      <c r="B199" s="201"/>
      <c r="C199" s="6"/>
      <c r="D199" s="6"/>
    </row>
    <row r="200" spans="2:4" ht="16.5" customHeight="1">
      <c r="B200" s="201"/>
      <c r="C200" s="6"/>
      <c r="D200" s="6"/>
    </row>
    <row r="201" spans="2:4" ht="16.5" customHeight="1">
      <c r="B201" s="201"/>
      <c r="C201" s="6"/>
      <c r="D201" s="6"/>
    </row>
    <row r="202" spans="2:4" ht="16.5" customHeight="1">
      <c r="B202" s="201"/>
      <c r="C202" s="6"/>
      <c r="D202" s="6"/>
    </row>
    <row r="203" spans="2:4" ht="16.5" customHeight="1">
      <c r="B203" s="201"/>
      <c r="C203" s="6"/>
      <c r="D203" s="6"/>
    </row>
    <row r="204" spans="2:4" ht="16.5" customHeight="1">
      <c r="B204" s="201"/>
      <c r="C204" s="6"/>
      <c r="D204" s="6"/>
    </row>
    <row r="205" spans="2:4" ht="16.5" customHeight="1">
      <c r="B205" s="201"/>
      <c r="C205" s="6"/>
      <c r="D205" s="6"/>
    </row>
    <row r="206" spans="2:4" ht="16.5" customHeight="1">
      <c r="B206" s="201"/>
      <c r="C206" s="6"/>
      <c r="D206" s="6"/>
    </row>
    <row r="207" spans="2:4" ht="16.5" customHeight="1">
      <c r="B207" s="201"/>
      <c r="C207" s="6"/>
      <c r="D207" s="6"/>
    </row>
    <row r="208" spans="2:4" ht="16.5" customHeight="1">
      <c r="B208" s="201"/>
      <c r="C208" s="6"/>
      <c r="D208" s="6"/>
    </row>
    <row r="209" spans="2:4" ht="16.5" customHeight="1">
      <c r="B209" s="201"/>
      <c r="C209" s="6"/>
      <c r="D209" s="6"/>
    </row>
    <row r="210" spans="2:4" ht="16.5" customHeight="1">
      <c r="B210" s="201"/>
      <c r="C210" s="6"/>
      <c r="D210" s="6"/>
    </row>
    <row r="211" spans="2:4" ht="16.5" customHeight="1">
      <c r="B211" s="201"/>
      <c r="C211" s="6"/>
      <c r="D211" s="6"/>
    </row>
    <row r="212" spans="2:4" ht="16.5" customHeight="1">
      <c r="B212" s="201"/>
      <c r="C212" s="6"/>
      <c r="D212" s="6"/>
    </row>
    <row r="213" spans="2:4" ht="16.5" customHeight="1">
      <c r="B213" s="201"/>
      <c r="C213" s="6"/>
      <c r="D213" s="6"/>
    </row>
    <row r="214" spans="2:4" ht="16.5" customHeight="1">
      <c r="B214" s="201"/>
      <c r="C214" s="6"/>
      <c r="D214" s="6"/>
    </row>
    <row r="215" spans="2:4" ht="16.5" customHeight="1">
      <c r="B215" s="201"/>
      <c r="C215" s="6"/>
      <c r="D215" s="6"/>
    </row>
    <row r="216" spans="2:4" ht="16.5" customHeight="1">
      <c r="B216" s="201"/>
      <c r="C216" s="6"/>
      <c r="D216" s="6"/>
    </row>
    <row r="217" spans="2:4" ht="16.5" customHeight="1">
      <c r="B217" s="201"/>
      <c r="C217" s="6"/>
      <c r="D217" s="6"/>
    </row>
    <row r="218" spans="2:4" ht="16.5" customHeight="1">
      <c r="B218" s="201"/>
      <c r="C218" s="6"/>
      <c r="D218" s="6"/>
    </row>
    <row r="219" spans="2:4" ht="16.5" customHeight="1">
      <c r="B219" s="201"/>
      <c r="C219" s="6"/>
      <c r="D219" s="6"/>
    </row>
    <row r="220" spans="2:4" ht="16.5" customHeight="1">
      <c r="B220" s="201"/>
      <c r="C220" s="6"/>
      <c r="D220" s="6"/>
    </row>
    <row r="221" spans="2:4" ht="16.5" customHeight="1">
      <c r="B221" s="201"/>
      <c r="C221" s="6"/>
      <c r="D221" s="6"/>
    </row>
    <row r="222" spans="2:4" ht="16.5" customHeight="1">
      <c r="B222" s="201"/>
      <c r="C222" s="6"/>
      <c r="D222" s="6"/>
    </row>
    <row r="223" spans="2:4" ht="16.5" customHeight="1">
      <c r="B223" s="201"/>
      <c r="C223" s="6"/>
      <c r="D223" s="6"/>
    </row>
    <row r="224" spans="2:4" ht="16.5" customHeight="1">
      <c r="B224" s="201"/>
      <c r="C224" s="6"/>
      <c r="D224" s="6"/>
    </row>
    <row r="225" spans="2:4" ht="16.5" customHeight="1">
      <c r="B225" s="201"/>
      <c r="C225" s="6"/>
      <c r="D225" s="6"/>
    </row>
    <row r="226" spans="2:4" ht="16.5" customHeight="1">
      <c r="B226" s="201"/>
      <c r="C226" s="6"/>
      <c r="D226" s="6"/>
    </row>
    <row r="227" spans="2:4" ht="16.5" customHeight="1">
      <c r="B227" s="201"/>
      <c r="C227" s="6"/>
      <c r="D227" s="6"/>
    </row>
    <row r="228" spans="2:4" ht="16.5" customHeight="1">
      <c r="B228" s="201"/>
      <c r="C228" s="6"/>
      <c r="D228" s="6"/>
    </row>
    <row r="229" spans="2:4" ht="16.5" customHeight="1">
      <c r="B229" s="201"/>
      <c r="C229" s="6"/>
      <c r="D229" s="6"/>
    </row>
    <row r="230" spans="2:4" ht="16.5" customHeight="1">
      <c r="B230" s="201"/>
      <c r="C230" s="6"/>
      <c r="D230" s="6"/>
    </row>
    <row r="231" spans="2:4" ht="16.5" customHeight="1">
      <c r="B231" s="201"/>
      <c r="C231" s="6"/>
      <c r="D231" s="6"/>
    </row>
    <row r="232" spans="2:4" ht="16.5" customHeight="1">
      <c r="B232" s="201"/>
      <c r="C232" s="6"/>
      <c r="D232" s="6"/>
    </row>
    <row r="233" spans="2:4" ht="16.5" customHeight="1">
      <c r="B233" s="201"/>
      <c r="C233" s="6"/>
      <c r="D233" s="6"/>
    </row>
    <row r="234" spans="2:4" ht="16.5" customHeight="1">
      <c r="B234" s="201"/>
      <c r="C234" s="6"/>
      <c r="D234" s="6"/>
    </row>
    <row r="235" spans="2:4" ht="16.5" customHeight="1">
      <c r="B235" s="201"/>
      <c r="C235" s="6"/>
      <c r="D235" s="6"/>
    </row>
    <row r="236" spans="2:4" ht="16.5" customHeight="1">
      <c r="B236" s="201"/>
      <c r="C236" s="6"/>
      <c r="D236" s="6"/>
    </row>
    <row r="237" spans="2:4" ht="16.5" customHeight="1">
      <c r="B237" s="201"/>
      <c r="C237" s="6"/>
      <c r="D237" s="6"/>
    </row>
    <row r="238" spans="2:4" ht="16.5" customHeight="1">
      <c r="B238" s="201"/>
      <c r="C238" s="6"/>
      <c r="D238" s="6"/>
    </row>
    <row r="239" spans="2:4" ht="16.5" customHeight="1">
      <c r="B239" s="201"/>
      <c r="C239" s="6"/>
      <c r="D239" s="6"/>
    </row>
    <row r="240" spans="2:4" ht="16.5" customHeight="1">
      <c r="B240" s="201"/>
      <c r="C240" s="6"/>
      <c r="D240" s="6"/>
    </row>
    <row r="241" spans="2:4" ht="16.5" customHeight="1">
      <c r="B241" s="201"/>
      <c r="C241" s="6"/>
      <c r="D241" s="6"/>
    </row>
    <row r="242" spans="2:4" ht="16.5" customHeight="1">
      <c r="B242" s="201"/>
      <c r="C242" s="6"/>
      <c r="D242" s="6"/>
    </row>
    <row r="243" spans="2:4" ht="16.5" customHeight="1">
      <c r="B243" s="201"/>
      <c r="C243" s="6"/>
      <c r="D243" s="6"/>
    </row>
    <row r="244" spans="2:4" ht="16.5" customHeight="1">
      <c r="B244" s="201"/>
      <c r="C244" s="6"/>
      <c r="D244" s="6"/>
    </row>
    <row r="245" spans="2:4" ht="16.5" customHeight="1">
      <c r="B245" s="201"/>
      <c r="C245" s="6"/>
      <c r="D245" s="6"/>
    </row>
    <row r="246" spans="2:4" ht="16.5" customHeight="1">
      <c r="B246" s="201"/>
      <c r="C246" s="6"/>
      <c r="D246" s="6"/>
    </row>
    <row r="247" spans="2:4" ht="16.5" customHeight="1">
      <c r="B247" s="201"/>
      <c r="C247" s="6"/>
      <c r="D247" s="6"/>
    </row>
    <row r="248" spans="2:4" ht="16.5" customHeight="1">
      <c r="B248" s="201"/>
      <c r="C248" s="6"/>
      <c r="D248" s="6"/>
    </row>
    <row r="249" spans="2:4" ht="16.5" customHeight="1">
      <c r="B249" s="201"/>
      <c r="C249" s="6"/>
      <c r="D249" s="6"/>
    </row>
    <row r="250" spans="2:4" ht="16.5" customHeight="1">
      <c r="B250" s="201"/>
      <c r="C250" s="6"/>
      <c r="D250" s="6"/>
    </row>
    <row r="251" spans="2:4" ht="16.5" customHeight="1">
      <c r="B251" s="201"/>
      <c r="C251" s="6"/>
      <c r="D251" s="6"/>
    </row>
    <row r="252" spans="2:4" ht="16.5" customHeight="1">
      <c r="B252" s="201"/>
      <c r="C252" s="6"/>
      <c r="D252" s="6"/>
    </row>
    <row r="253" spans="2:4" ht="16.5" customHeight="1">
      <c r="B253" s="201"/>
      <c r="C253" s="6"/>
      <c r="D253" s="6"/>
    </row>
    <row r="254" spans="2:4" ht="16.5" customHeight="1">
      <c r="B254" s="201"/>
      <c r="C254" s="6"/>
      <c r="D254" s="6"/>
    </row>
    <row r="255" spans="2:4" ht="16.5" customHeight="1">
      <c r="B255" s="201"/>
      <c r="C255" s="6"/>
      <c r="D255" s="6"/>
    </row>
    <row r="256" spans="2:4" ht="16.5" customHeight="1">
      <c r="B256" s="201"/>
      <c r="C256" s="6"/>
      <c r="D256" s="6"/>
    </row>
    <row r="257" spans="2:4" ht="16.5" customHeight="1">
      <c r="B257" s="201"/>
      <c r="C257" s="6"/>
      <c r="D257" s="6"/>
    </row>
    <row r="258" spans="2:4" ht="16.5" customHeight="1">
      <c r="B258" s="201"/>
      <c r="C258" s="6"/>
      <c r="D258" s="6"/>
    </row>
    <row r="259" spans="2:4" ht="16.5" customHeight="1">
      <c r="B259" s="201"/>
      <c r="C259" s="6"/>
      <c r="D259" s="6"/>
    </row>
    <row r="260" spans="2:4" ht="16.5" customHeight="1">
      <c r="B260" s="201"/>
      <c r="C260" s="6"/>
      <c r="D260" s="6"/>
    </row>
    <row r="261" spans="2:4" ht="16.5" customHeight="1">
      <c r="B261" s="201"/>
      <c r="C261" s="6"/>
      <c r="D261" s="6"/>
    </row>
    <row r="262" spans="2:4" ht="16.5" customHeight="1">
      <c r="B262" s="201"/>
      <c r="C262" s="6"/>
      <c r="D262" s="6"/>
    </row>
    <row r="263" spans="2:4" ht="16.5" customHeight="1">
      <c r="B263" s="201"/>
      <c r="C263" s="6"/>
      <c r="D263" s="6"/>
    </row>
    <row r="264" spans="2:4" ht="16.5" customHeight="1">
      <c r="B264" s="201"/>
      <c r="C264" s="6"/>
      <c r="D264" s="6"/>
    </row>
    <row r="265" spans="2:4" ht="16.5" customHeight="1">
      <c r="B265" s="201"/>
      <c r="C265" s="6"/>
      <c r="D265" s="6"/>
    </row>
    <row r="266" spans="2:4" ht="16.5" customHeight="1">
      <c r="B266" s="201"/>
      <c r="C266" s="6"/>
      <c r="D266" s="6"/>
    </row>
    <row r="267" spans="2:4" ht="16.5" customHeight="1">
      <c r="B267" s="201"/>
      <c r="C267" s="6"/>
      <c r="D267" s="6"/>
    </row>
    <row r="268" spans="2:4" ht="16.5" customHeight="1">
      <c r="B268" s="201"/>
      <c r="C268" s="6"/>
      <c r="D268" s="6"/>
    </row>
    <row r="269" spans="2:4" ht="16.5" customHeight="1">
      <c r="B269" s="201"/>
      <c r="C269" s="6"/>
      <c r="D269" s="6"/>
    </row>
    <row r="270" spans="2:4" ht="16.5" customHeight="1">
      <c r="B270" s="201"/>
      <c r="C270" s="6"/>
      <c r="D270" s="6"/>
    </row>
    <row r="271" spans="2:4" ht="16.5" customHeight="1">
      <c r="B271" s="201"/>
      <c r="C271" s="6"/>
      <c r="D271" s="6"/>
    </row>
    <row r="272" spans="2:4" ht="16.5" customHeight="1">
      <c r="B272" s="201"/>
      <c r="C272" s="6"/>
      <c r="D272" s="6"/>
    </row>
    <row r="273" spans="2:4" ht="16.5" customHeight="1">
      <c r="B273" s="201"/>
      <c r="C273" s="6"/>
      <c r="D273" s="6"/>
    </row>
    <row r="274" spans="2:4" ht="16.5" customHeight="1">
      <c r="B274" s="201"/>
      <c r="C274" s="6"/>
      <c r="D274" s="6"/>
    </row>
    <row r="275" spans="2:4" ht="16.5" customHeight="1">
      <c r="B275" s="201"/>
      <c r="C275" s="6"/>
      <c r="D275" s="6"/>
    </row>
    <row r="276" spans="2:4" ht="16.5" customHeight="1">
      <c r="B276" s="201"/>
      <c r="C276" s="6"/>
      <c r="D276" s="6"/>
    </row>
    <row r="277" spans="2:4" ht="16.5" customHeight="1">
      <c r="B277" s="201"/>
      <c r="C277" s="6"/>
      <c r="D277" s="6"/>
    </row>
    <row r="278" spans="2:4" ht="16.5" customHeight="1">
      <c r="B278" s="201"/>
      <c r="C278" s="6"/>
      <c r="D278" s="6"/>
    </row>
    <row r="279" spans="2:4" ht="16.5" customHeight="1">
      <c r="B279" s="201"/>
      <c r="C279" s="6"/>
      <c r="D279" s="6"/>
    </row>
    <row r="280" spans="2:4" ht="16.5" customHeight="1">
      <c r="B280" s="201"/>
      <c r="C280" s="6"/>
      <c r="D280" s="6"/>
    </row>
    <row r="281" spans="2:4" ht="16.5" customHeight="1">
      <c r="B281" s="201"/>
      <c r="C281" s="6"/>
      <c r="D281" s="6"/>
    </row>
    <row r="282" spans="2:4" ht="16.5" customHeight="1">
      <c r="B282" s="201"/>
      <c r="C282" s="6"/>
      <c r="D282" s="6"/>
    </row>
    <row r="283" spans="2:4" ht="16.5" customHeight="1">
      <c r="B283" s="201"/>
      <c r="C283" s="6"/>
      <c r="D283" s="6"/>
    </row>
    <row r="284" spans="2:4" ht="16.5" customHeight="1">
      <c r="B284" s="201"/>
      <c r="C284" s="6"/>
      <c r="D284" s="6"/>
    </row>
    <row r="285" spans="2:4" ht="16.5" customHeight="1">
      <c r="B285" s="201"/>
      <c r="C285" s="6"/>
      <c r="D285" s="6"/>
    </row>
    <row r="286" spans="2:4" ht="16.5" customHeight="1">
      <c r="B286" s="201"/>
      <c r="C286" s="6"/>
      <c r="D286" s="6"/>
    </row>
    <row r="287" spans="2:4" ht="16.5" customHeight="1">
      <c r="B287" s="201"/>
      <c r="C287" s="6"/>
      <c r="D287" s="6"/>
    </row>
    <row r="288" spans="2:4" ht="16.5" customHeight="1">
      <c r="B288" s="201"/>
      <c r="C288" s="6"/>
      <c r="D288" s="6"/>
    </row>
    <row r="289" spans="2:4" ht="16.5" customHeight="1">
      <c r="B289" s="201"/>
      <c r="C289" s="6"/>
      <c r="D289" s="6"/>
    </row>
    <row r="290" spans="2:4" ht="16.5" customHeight="1">
      <c r="B290" s="201"/>
      <c r="C290" s="6"/>
      <c r="D290" s="6"/>
    </row>
    <row r="291" spans="2:4" ht="16.5" customHeight="1">
      <c r="B291" s="201"/>
      <c r="C291" s="6"/>
      <c r="D291" s="6"/>
    </row>
    <row r="292" spans="2:4" ht="16.5" customHeight="1">
      <c r="B292" s="201"/>
      <c r="C292" s="6"/>
      <c r="D292" s="6"/>
    </row>
    <row r="293" spans="2:4" ht="16.5" customHeight="1">
      <c r="B293" s="201"/>
      <c r="C293" s="6"/>
      <c r="D293" s="6"/>
    </row>
    <row r="294" spans="2:4" ht="16.5" customHeight="1">
      <c r="B294" s="201"/>
      <c r="C294" s="6"/>
      <c r="D294" s="6"/>
    </row>
    <row r="295" spans="2:4" ht="16.5" customHeight="1">
      <c r="B295" s="201"/>
      <c r="C295" s="6"/>
      <c r="D295" s="6"/>
    </row>
    <row r="296" spans="2:4" ht="16.5" customHeight="1">
      <c r="B296" s="201"/>
      <c r="C296" s="6"/>
      <c r="D296" s="6"/>
    </row>
    <row r="297" spans="2:4" ht="16.5" customHeight="1">
      <c r="B297" s="201"/>
      <c r="C297" s="6"/>
      <c r="D297" s="6"/>
    </row>
    <row r="298" spans="2:4" ht="16.5" customHeight="1">
      <c r="B298" s="201"/>
      <c r="C298" s="6"/>
      <c r="D298" s="6"/>
    </row>
    <row r="299" spans="2:4" ht="16.5" customHeight="1">
      <c r="B299" s="201"/>
      <c r="C299" s="6"/>
      <c r="D299" s="6"/>
    </row>
    <row r="300" spans="2:4" ht="16.5" customHeight="1">
      <c r="B300" s="201"/>
      <c r="C300" s="6"/>
      <c r="D300" s="6"/>
    </row>
    <row r="301" spans="2:4" ht="16.5" customHeight="1">
      <c r="B301" s="201"/>
      <c r="C301" s="6"/>
      <c r="D301" s="6"/>
    </row>
    <row r="302" spans="2:4" ht="16.5" customHeight="1">
      <c r="B302" s="201"/>
      <c r="C302" s="6"/>
      <c r="D302" s="6"/>
    </row>
    <row r="303" spans="2:4" ht="16.5" customHeight="1">
      <c r="B303" s="201"/>
      <c r="C303" s="6"/>
      <c r="D303" s="6"/>
    </row>
    <row r="304" spans="2:4" ht="16.5" customHeight="1">
      <c r="B304" s="201"/>
      <c r="C304" s="6"/>
      <c r="D304" s="6"/>
    </row>
    <row r="305" spans="2:4" ht="16.5" customHeight="1">
      <c r="B305" s="201"/>
      <c r="C305" s="6"/>
      <c r="D305" s="6"/>
    </row>
    <row r="306" spans="2:4" ht="16.5" customHeight="1">
      <c r="B306" s="201"/>
      <c r="C306" s="6"/>
      <c r="D306" s="6"/>
    </row>
    <row r="307" spans="2:4" ht="16.5" customHeight="1">
      <c r="B307" s="201"/>
      <c r="C307" s="6"/>
      <c r="D307" s="6"/>
    </row>
    <row r="308" spans="2:4" ht="16.5" customHeight="1">
      <c r="B308" s="201"/>
      <c r="C308" s="6"/>
      <c r="D308" s="6"/>
    </row>
    <row r="309" spans="2:4" ht="16.5" customHeight="1">
      <c r="B309" s="201"/>
      <c r="C309" s="6"/>
      <c r="D309" s="6"/>
    </row>
    <row r="310" spans="2:4" ht="16.5" customHeight="1">
      <c r="B310" s="201"/>
      <c r="C310" s="6"/>
      <c r="D310" s="6"/>
    </row>
    <row r="311" spans="2:4" ht="16.5" customHeight="1">
      <c r="B311" s="201"/>
      <c r="C311" s="6"/>
      <c r="D311" s="6"/>
    </row>
    <row r="312" spans="2:4" ht="16.5" customHeight="1">
      <c r="B312" s="201"/>
      <c r="C312" s="6"/>
      <c r="D312" s="6"/>
    </row>
    <row r="313" spans="2:4" ht="16.5" customHeight="1">
      <c r="B313" s="201"/>
      <c r="C313" s="6"/>
      <c r="D313" s="6"/>
    </row>
    <row r="314" spans="2:4" ht="16.5" customHeight="1">
      <c r="B314" s="201"/>
      <c r="C314" s="6"/>
      <c r="D314" s="6"/>
    </row>
    <row r="315" spans="2:4" ht="16.5" customHeight="1">
      <c r="B315" s="201"/>
      <c r="C315" s="6"/>
      <c r="D315" s="6"/>
    </row>
    <row r="316" spans="2:4" ht="16.5" customHeight="1">
      <c r="B316" s="201"/>
      <c r="C316" s="6"/>
      <c r="D316" s="6"/>
    </row>
    <row r="317" spans="2:4" ht="16.5" customHeight="1">
      <c r="B317" s="201"/>
      <c r="C317" s="6"/>
      <c r="D317" s="6"/>
    </row>
    <row r="318" spans="2:4" ht="16.5" customHeight="1">
      <c r="B318" s="201"/>
      <c r="C318" s="6"/>
      <c r="D318" s="6"/>
    </row>
    <row r="319" spans="2:4" ht="16.5" customHeight="1">
      <c r="B319" s="201"/>
      <c r="C319" s="6"/>
      <c r="D319" s="6"/>
    </row>
    <row r="320" spans="2:4" ht="16.5" customHeight="1">
      <c r="B320" s="201"/>
      <c r="C320" s="6"/>
      <c r="D320" s="6"/>
    </row>
    <row r="321" spans="2:4" ht="16.5" customHeight="1">
      <c r="B321" s="201"/>
      <c r="C321" s="6"/>
      <c r="D321" s="6"/>
    </row>
    <row r="322" spans="2:4" ht="16.5" customHeight="1">
      <c r="B322" s="201"/>
      <c r="C322" s="6"/>
      <c r="D322" s="6"/>
    </row>
    <row r="323" spans="2:4" ht="16.5" customHeight="1">
      <c r="B323" s="201"/>
      <c r="C323" s="6"/>
      <c r="D323" s="6"/>
    </row>
    <row r="324" spans="2:4" ht="16.5" customHeight="1">
      <c r="B324" s="201"/>
      <c r="C324" s="6"/>
      <c r="D324" s="6"/>
    </row>
    <row r="325" spans="2:4" ht="16.5" customHeight="1">
      <c r="B325" s="201"/>
      <c r="C325" s="6"/>
      <c r="D325" s="6"/>
    </row>
    <row r="326" spans="2:4" ht="16.5" customHeight="1">
      <c r="B326" s="201"/>
      <c r="C326" s="6"/>
      <c r="D326" s="6"/>
    </row>
    <row r="327" spans="2:4" ht="16.5" customHeight="1">
      <c r="B327" s="201"/>
      <c r="C327" s="6"/>
      <c r="D327" s="6"/>
    </row>
    <row r="328" spans="2:4" ht="16.5" customHeight="1">
      <c r="B328" s="201"/>
      <c r="C328" s="6"/>
      <c r="D328" s="6"/>
    </row>
    <row r="329" spans="2:4" ht="16.5" customHeight="1">
      <c r="B329" s="201"/>
      <c r="C329" s="6"/>
      <c r="D329" s="6"/>
    </row>
    <row r="330" spans="2:4" ht="16.5" customHeight="1">
      <c r="B330" s="201"/>
      <c r="C330" s="6"/>
      <c r="D330" s="6"/>
    </row>
    <row r="331" spans="2:4" ht="16.5" customHeight="1">
      <c r="B331" s="201"/>
      <c r="C331" s="6"/>
      <c r="D331" s="6"/>
    </row>
    <row r="332" spans="2:4" ht="16.5" customHeight="1">
      <c r="B332" s="201"/>
      <c r="C332" s="6"/>
      <c r="D332" s="6"/>
    </row>
    <row r="333" spans="2:4" ht="16.5" customHeight="1">
      <c r="B333" s="201"/>
      <c r="C333" s="6"/>
      <c r="D333" s="6"/>
    </row>
    <row r="334" spans="2:4" ht="16.5" customHeight="1">
      <c r="B334" s="201"/>
      <c r="C334" s="6"/>
      <c r="D334" s="6"/>
    </row>
    <row r="335" spans="2:4" ht="16.5" customHeight="1">
      <c r="B335" s="201"/>
      <c r="C335" s="6"/>
      <c r="D335" s="6"/>
    </row>
    <row r="336" spans="2:4" ht="16.5" customHeight="1">
      <c r="B336" s="201"/>
      <c r="C336" s="6"/>
      <c r="D336" s="6"/>
    </row>
    <row r="337" spans="2:4" ht="16.5" customHeight="1">
      <c r="B337" s="201"/>
      <c r="C337" s="6"/>
      <c r="D337" s="6"/>
    </row>
    <row r="338" spans="2:4" ht="16.5" customHeight="1">
      <c r="B338" s="201"/>
      <c r="C338" s="6"/>
      <c r="D338" s="6"/>
    </row>
    <row r="339" spans="2:4" ht="16.5" customHeight="1">
      <c r="B339" s="201"/>
      <c r="C339" s="6"/>
      <c r="D339" s="6"/>
    </row>
    <row r="340" spans="2:4" ht="16.5" customHeight="1">
      <c r="B340" s="201"/>
      <c r="C340" s="6"/>
      <c r="D340" s="6"/>
    </row>
    <row r="341" spans="2:4" ht="16.5" customHeight="1">
      <c r="B341" s="201"/>
      <c r="C341" s="6"/>
      <c r="D341" s="6"/>
    </row>
    <row r="342" spans="2:4" ht="16.5" customHeight="1">
      <c r="B342" s="201"/>
      <c r="C342" s="6"/>
      <c r="D342" s="6"/>
    </row>
    <row r="343" spans="2:4" ht="16.5" customHeight="1">
      <c r="B343" s="201"/>
      <c r="C343" s="6"/>
      <c r="D343" s="6"/>
    </row>
    <row r="344" spans="2:4" ht="16.5" customHeight="1">
      <c r="B344" s="201"/>
      <c r="C344" s="6"/>
      <c r="D344" s="6"/>
    </row>
    <row r="345" spans="2:4" ht="16.5" customHeight="1">
      <c r="B345" s="201"/>
      <c r="C345" s="6"/>
      <c r="D345" s="6"/>
    </row>
    <row r="346" spans="2:4" ht="16.5" customHeight="1">
      <c r="B346" s="201"/>
      <c r="C346" s="6"/>
      <c r="D346" s="6"/>
    </row>
    <row r="347" spans="2:4" ht="16.5" customHeight="1">
      <c r="B347" s="201"/>
      <c r="C347" s="6"/>
      <c r="D347" s="6"/>
    </row>
    <row r="348" spans="2:4" ht="16.5" customHeight="1">
      <c r="B348" s="201"/>
      <c r="C348" s="6"/>
      <c r="D348" s="6"/>
    </row>
    <row r="349" spans="2:4" ht="16.5" customHeight="1">
      <c r="B349" s="201"/>
      <c r="C349" s="6"/>
      <c r="D349" s="6"/>
    </row>
    <row r="350" spans="2:4" ht="16.5" customHeight="1">
      <c r="B350" s="201"/>
      <c r="C350" s="6"/>
      <c r="D350" s="6"/>
    </row>
    <row r="351" spans="2:4" ht="16.5" customHeight="1">
      <c r="B351" s="201"/>
      <c r="C351" s="6"/>
      <c r="D351" s="6"/>
    </row>
    <row r="352" spans="2:4" ht="16.5" customHeight="1">
      <c r="B352" s="201"/>
      <c r="C352" s="6"/>
      <c r="D352" s="6"/>
    </row>
    <row r="353" spans="2:4" ht="16.5" customHeight="1">
      <c r="B353" s="201"/>
      <c r="C353" s="6"/>
      <c r="D353" s="6"/>
    </row>
    <row r="354" spans="2:4" ht="16.5" customHeight="1">
      <c r="B354" s="201"/>
      <c r="C354" s="6"/>
      <c r="D354" s="6"/>
    </row>
    <row r="355" spans="2:4" ht="16.5" customHeight="1">
      <c r="B355" s="201"/>
      <c r="C355" s="6"/>
      <c r="D355" s="6"/>
    </row>
    <row r="356" spans="2:4" ht="16.5" customHeight="1">
      <c r="B356" s="201"/>
      <c r="C356" s="6"/>
      <c r="D356" s="6"/>
    </row>
    <row r="357" spans="2:4" ht="16.5" customHeight="1">
      <c r="B357" s="201"/>
      <c r="C357" s="6"/>
      <c r="D357" s="6"/>
    </row>
    <row r="358" spans="2:4" ht="16.5" customHeight="1">
      <c r="B358" s="201"/>
      <c r="C358" s="6"/>
      <c r="D358" s="6"/>
    </row>
    <row r="359" spans="2:4" ht="16.5" customHeight="1">
      <c r="B359" s="201"/>
      <c r="C359" s="6"/>
      <c r="D359" s="6"/>
    </row>
    <row r="360" spans="2:4" ht="16.5" customHeight="1">
      <c r="B360" s="201"/>
      <c r="C360" s="6"/>
      <c r="D360" s="6"/>
    </row>
    <row r="361" spans="2:4" ht="16.5" customHeight="1">
      <c r="B361" s="201"/>
      <c r="C361" s="6"/>
      <c r="D361" s="6"/>
    </row>
    <row r="362" spans="2:4" ht="16.5" customHeight="1">
      <c r="B362" s="201"/>
      <c r="C362" s="6"/>
      <c r="D362" s="6"/>
    </row>
    <row r="363" spans="2:4" ht="16.5" customHeight="1">
      <c r="B363" s="201"/>
      <c r="C363" s="6"/>
      <c r="D363" s="6"/>
    </row>
    <row r="364" spans="2:4" ht="16.5" customHeight="1">
      <c r="B364" s="201"/>
      <c r="C364" s="6"/>
      <c r="D364" s="6"/>
    </row>
    <row r="365" spans="2:4" ht="16.5" customHeight="1">
      <c r="B365" s="201"/>
      <c r="C365" s="6"/>
      <c r="D365" s="6"/>
    </row>
    <row r="366" spans="2:4" ht="16.5" customHeight="1">
      <c r="B366" s="201"/>
      <c r="C366" s="6"/>
      <c r="D366" s="6"/>
    </row>
    <row r="367" spans="2:4" ht="16.5" customHeight="1">
      <c r="B367" s="201"/>
      <c r="C367" s="6"/>
      <c r="D367" s="6"/>
    </row>
    <row r="368" spans="2:4" ht="16.5" customHeight="1">
      <c r="B368" s="201"/>
      <c r="C368" s="6"/>
      <c r="D368" s="6"/>
    </row>
    <row r="369" spans="2:4" ht="16.5" customHeight="1">
      <c r="B369" s="201"/>
      <c r="C369" s="6"/>
      <c r="D369" s="6"/>
    </row>
    <row r="370" spans="2:4" ht="16.5" customHeight="1">
      <c r="B370" s="201"/>
      <c r="C370" s="6"/>
      <c r="D370" s="6"/>
    </row>
    <row r="371" spans="2:4" ht="16.5" customHeight="1">
      <c r="B371" s="201"/>
      <c r="C371" s="6"/>
      <c r="D371" s="6"/>
    </row>
    <row r="372" spans="2:4" ht="16.5" customHeight="1">
      <c r="B372" s="201"/>
      <c r="C372" s="6"/>
      <c r="D372" s="6"/>
    </row>
    <row r="373" spans="2:4" ht="16.5" customHeight="1">
      <c r="B373" s="201"/>
      <c r="C373" s="6"/>
      <c r="D373" s="6"/>
    </row>
    <row r="374" spans="2:4" ht="16.5" customHeight="1">
      <c r="B374" s="201"/>
      <c r="C374" s="6"/>
      <c r="D374" s="6"/>
    </row>
    <row r="375" spans="2:4" ht="16.5" customHeight="1">
      <c r="B375" s="201"/>
      <c r="C375" s="6"/>
      <c r="D375" s="6"/>
    </row>
    <row r="376" spans="2:4" ht="16.5" customHeight="1">
      <c r="B376" s="201"/>
      <c r="C376" s="6"/>
      <c r="D376" s="6"/>
    </row>
    <row r="377" spans="2:4" ht="16.5" customHeight="1">
      <c r="B377" s="201"/>
      <c r="C377" s="6"/>
      <c r="D377" s="6"/>
    </row>
    <row r="378" spans="2:4" ht="16.5" customHeight="1">
      <c r="B378" s="201"/>
      <c r="C378" s="6"/>
      <c r="D378" s="6"/>
    </row>
    <row r="379" spans="2:4" ht="16.5" customHeight="1">
      <c r="B379" s="201"/>
      <c r="C379" s="6"/>
      <c r="D379" s="6"/>
    </row>
    <row r="380" spans="2:4" ht="16.5" customHeight="1">
      <c r="B380" s="201"/>
      <c r="C380" s="6"/>
      <c r="D380" s="6"/>
    </row>
    <row r="381" spans="2:4" ht="16.5" customHeight="1">
      <c r="B381" s="201"/>
      <c r="C381" s="6"/>
      <c r="D381" s="6"/>
    </row>
    <row r="382" spans="2:4" ht="16.5" customHeight="1">
      <c r="B382" s="201"/>
      <c r="C382" s="6"/>
      <c r="D382" s="6"/>
    </row>
    <row r="383" spans="2:4" ht="16.5" customHeight="1">
      <c r="B383" s="201"/>
      <c r="C383" s="6"/>
      <c r="D383" s="6"/>
    </row>
    <row r="384" spans="2:4" ht="16.5" customHeight="1">
      <c r="B384" s="201"/>
      <c r="C384" s="6"/>
      <c r="D384" s="6"/>
    </row>
    <row r="385" spans="2:4" ht="16.5" customHeight="1">
      <c r="B385" s="201"/>
      <c r="C385" s="6"/>
      <c r="D385" s="6"/>
    </row>
    <row r="386" spans="2:4" ht="16.5" customHeight="1">
      <c r="B386" s="201"/>
      <c r="C386" s="6"/>
      <c r="D386" s="6"/>
    </row>
    <row r="387" spans="2:4" ht="16.5" customHeight="1">
      <c r="B387" s="201"/>
      <c r="C387" s="6"/>
      <c r="D387" s="6"/>
    </row>
    <row r="388" spans="2:4" ht="16.5" customHeight="1">
      <c r="B388" s="201"/>
      <c r="C388" s="6"/>
      <c r="D388" s="6"/>
    </row>
    <row r="389" spans="2:4" ht="16.5" customHeight="1">
      <c r="B389" s="201"/>
      <c r="C389" s="6"/>
      <c r="D389" s="6"/>
    </row>
    <row r="390" spans="2:4" ht="16.5" customHeight="1">
      <c r="B390" s="201"/>
      <c r="C390" s="6"/>
      <c r="D390" s="6"/>
    </row>
    <row r="391" spans="2:4" ht="16.5" customHeight="1">
      <c r="B391" s="201"/>
      <c r="C391" s="6"/>
      <c r="D391" s="6"/>
    </row>
    <row r="392" spans="2:4" ht="16.5" customHeight="1">
      <c r="B392" s="201"/>
      <c r="C392" s="6"/>
      <c r="D392" s="6"/>
    </row>
    <row r="393" spans="2:4" ht="16.5" customHeight="1">
      <c r="B393" s="201"/>
      <c r="C393" s="6"/>
      <c r="D393" s="6"/>
    </row>
    <row r="394" spans="2:4" ht="16.5" customHeight="1">
      <c r="B394" s="201"/>
      <c r="C394" s="6"/>
      <c r="D394" s="6"/>
    </row>
    <row r="395" spans="2:4" ht="16.5" customHeight="1">
      <c r="B395" s="201"/>
      <c r="C395" s="6"/>
      <c r="D395" s="6"/>
    </row>
    <row r="396" spans="2:4" ht="16.5" customHeight="1">
      <c r="B396" s="201"/>
      <c r="C396" s="6"/>
      <c r="D396" s="6"/>
    </row>
    <row r="397" spans="2:4" ht="16.5" customHeight="1">
      <c r="B397" s="201"/>
      <c r="C397" s="6"/>
      <c r="D397" s="6"/>
    </row>
    <row r="398" spans="2:4" ht="16.5" customHeight="1">
      <c r="B398" s="201"/>
      <c r="C398" s="6"/>
      <c r="D398" s="6"/>
    </row>
    <row r="399" spans="2:4" ht="16.5" customHeight="1">
      <c r="B399" s="201"/>
      <c r="C399" s="6"/>
      <c r="D399" s="6"/>
    </row>
    <row r="400" spans="2:4" ht="16.5" customHeight="1">
      <c r="B400" s="201"/>
      <c r="C400" s="6"/>
      <c r="D400" s="6"/>
    </row>
    <row r="401" spans="2:4" ht="16.5" customHeight="1">
      <c r="B401" s="201"/>
      <c r="C401" s="6"/>
      <c r="D401" s="6"/>
    </row>
    <row r="402" spans="2:4" ht="16.5" customHeight="1">
      <c r="B402" s="201"/>
      <c r="C402" s="6"/>
      <c r="D402" s="6"/>
    </row>
    <row r="403" spans="2:4" ht="16.5" customHeight="1">
      <c r="B403" s="201"/>
      <c r="C403" s="6"/>
      <c r="D403" s="6"/>
    </row>
    <row r="404" spans="2:4" ht="16.5" customHeight="1">
      <c r="B404" s="201"/>
      <c r="C404" s="6"/>
      <c r="D404" s="6"/>
    </row>
    <row r="405" spans="2:4" ht="16.5" customHeight="1">
      <c r="B405" s="201"/>
      <c r="C405" s="6"/>
      <c r="D405" s="6"/>
    </row>
    <row r="406" spans="2:4" ht="16.5" customHeight="1">
      <c r="B406" s="201"/>
      <c r="C406" s="6"/>
      <c r="D406" s="6"/>
    </row>
    <row r="407" spans="2:4" ht="16.5" customHeight="1">
      <c r="B407" s="201"/>
      <c r="C407" s="6"/>
      <c r="D407" s="6"/>
    </row>
    <row r="408" spans="2:4" ht="16.5" customHeight="1">
      <c r="B408" s="201"/>
      <c r="C408" s="6"/>
      <c r="D408" s="6"/>
    </row>
    <row r="409" spans="2:4" ht="16.5" customHeight="1">
      <c r="B409" s="201"/>
      <c r="C409" s="6"/>
      <c r="D409" s="6"/>
    </row>
    <row r="410" spans="2:4" ht="16.5" customHeight="1">
      <c r="B410" s="201"/>
      <c r="C410" s="6"/>
      <c r="D410" s="6"/>
    </row>
    <row r="411" spans="2:4" ht="16.5" customHeight="1">
      <c r="B411" s="201"/>
      <c r="C411" s="6"/>
      <c r="D411" s="6"/>
    </row>
    <row r="412" spans="2:4" ht="16.5" customHeight="1">
      <c r="B412" s="201"/>
      <c r="C412" s="6"/>
      <c r="D412" s="6"/>
    </row>
    <row r="413" spans="2:4" ht="16.5" customHeight="1">
      <c r="B413" s="201"/>
      <c r="C413" s="6"/>
      <c r="D413" s="6"/>
    </row>
    <row r="414" spans="2:4" ht="16.5" customHeight="1">
      <c r="B414" s="201"/>
      <c r="C414" s="6"/>
      <c r="D414" s="6"/>
    </row>
    <row r="415" spans="2:4" ht="16.5" customHeight="1">
      <c r="B415" s="201"/>
      <c r="C415" s="6"/>
      <c r="D415" s="6"/>
    </row>
    <row r="416" spans="2:4" ht="16.5" customHeight="1">
      <c r="B416" s="201"/>
      <c r="C416" s="6"/>
      <c r="D416" s="6"/>
    </row>
    <row r="417" spans="2:4" ht="16.5" customHeight="1">
      <c r="B417" s="201"/>
      <c r="C417" s="6"/>
      <c r="D417" s="6"/>
    </row>
    <row r="418" spans="2:4" ht="16.5" customHeight="1">
      <c r="B418" s="201"/>
      <c r="C418" s="6"/>
      <c r="D418" s="6"/>
    </row>
    <row r="419" spans="2:4" ht="16.5" customHeight="1">
      <c r="B419" s="201"/>
      <c r="C419" s="6"/>
      <c r="D419" s="6"/>
    </row>
    <row r="420" spans="2:4" ht="16.5" customHeight="1">
      <c r="B420" s="201"/>
      <c r="C420" s="6"/>
      <c r="D420" s="6"/>
    </row>
    <row r="421" spans="2:4" ht="16.5" customHeight="1">
      <c r="B421" s="201"/>
      <c r="C421" s="6"/>
      <c r="D421" s="6"/>
    </row>
    <row r="422" spans="2:4" ht="16.5" customHeight="1">
      <c r="B422" s="201"/>
      <c r="C422" s="6"/>
      <c r="D422" s="6"/>
    </row>
    <row r="423" spans="2:4" ht="16.5" customHeight="1">
      <c r="B423" s="201"/>
      <c r="C423" s="6"/>
      <c r="D423" s="6"/>
    </row>
    <row r="424" spans="2:4" ht="16.5" customHeight="1">
      <c r="B424" s="201"/>
      <c r="C424" s="6"/>
      <c r="D424" s="6"/>
    </row>
    <row r="425" spans="2:4" ht="16.5" customHeight="1">
      <c r="B425" s="201"/>
      <c r="C425" s="6"/>
      <c r="D425" s="6"/>
    </row>
    <row r="426" spans="2:4" ht="16.5" customHeight="1">
      <c r="B426" s="201"/>
      <c r="C426" s="6"/>
      <c r="D426" s="6"/>
    </row>
    <row r="427" spans="2:4" ht="16.5" customHeight="1">
      <c r="B427" s="201"/>
      <c r="C427" s="6"/>
      <c r="D427" s="6"/>
    </row>
    <row r="428" spans="2:4" ht="16.5" customHeight="1">
      <c r="B428" s="201"/>
      <c r="C428" s="6"/>
      <c r="D428" s="6"/>
    </row>
    <row r="429" spans="2:4" ht="16.5" customHeight="1">
      <c r="B429" s="201"/>
      <c r="C429" s="6"/>
      <c r="D429" s="6"/>
    </row>
    <row r="430" spans="2:4" ht="16.5" customHeight="1">
      <c r="B430" s="201"/>
      <c r="C430" s="6"/>
      <c r="D430" s="6"/>
    </row>
    <row r="431" spans="2:4" ht="16.5" customHeight="1">
      <c r="B431" s="201"/>
      <c r="C431" s="6"/>
      <c r="D431" s="6"/>
    </row>
    <row r="432" spans="2:4" ht="16.5" customHeight="1">
      <c r="B432" s="201"/>
      <c r="C432" s="6"/>
      <c r="D432" s="6"/>
    </row>
    <row r="433" spans="2:4" ht="16.5" customHeight="1">
      <c r="B433" s="201"/>
      <c r="C433" s="6"/>
      <c r="D433" s="6"/>
    </row>
    <row r="434" spans="2:4" ht="16.5" customHeight="1">
      <c r="B434" s="201"/>
      <c r="C434" s="6"/>
      <c r="D434" s="6"/>
    </row>
    <row r="435" spans="2:4" ht="16.5" customHeight="1">
      <c r="B435" s="201"/>
      <c r="C435" s="6"/>
      <c r="D435" s="6"/>
    </row>
    <row r="436" spans="2:4" ht="16.5" customHeight="1">
      <c r="B436" s="201"/>
      <c r="C436" s="6"/>
      <c r="D436" s="6"/>
    </row>
    <row r="437" spans="2:4" ht="16.5" customHeight="1">
      <c r="B437" s="201"/>
      <c r="C437" s="6"/>
      <c r="D437" s="6"/>
    </row>
    <row r="438" spans="2:4" ht="16.5" customHeight="1">
      <c r="B438" s="201"/>
      <c r="C438" s="6"/>
      <c r="D438" s="6"/>
    </row>
    <row r="439" spans="2:4" ht="16.5" customHeight="1">
      <c r="B439" s="201"/>
      <c r="C439" s="6"/>
      <c r="D439" s="6"/>
    </row>
    <row r="440" spans="2:4" ht="16.5" customHeight="1">
      <c r="B440" s="201"/>
      <c r="C440" s="6"/>
      <c r="D440" s="6"/>
    </row>
    <row r="441" spans="2:4" ht="16.5" customHeight="1">
      <c r="B441" s="201"/>
      <c r="C441" s="6"/>
      <c r="D441" s="6"/>
    </row>
    <row r="442" spans="2:4" ht="16.5" customHeight="1">
      <c r="B442" s="201"/>
      <c r="C442" s="6"/>
      <c r="D442" s="6"/>
    </row>
    <row r="443" spans="2:4" ht="16.5" customHeight="1">
      <c r="B443" s="201"/>
      <c r="C443" s="6"/>
      <c r="D443" s="6"/>
    </row>
    <row r="444" spans="2:4" ht="16.5" customHeight="1">
      <c r="B444" s="201"/>
      <c r="C444" s="6"/>
      <c r="D444" s="6"/>
    </row>
    <row r="445" spans="2:4" ht="16.5" customHeight="1">
      <c r="B445" s="201"/>
      <c r="C445" s="6"/>
      <c r="D445" s="6"/>
    </row>
    <row r="446" spans="2:4" ht="16.5" customHeight="1">
      <c r="B446" s="201"/>
      <c r="C446" s="6"/>
      <c r="D446" s="6"/>
    </row>
    <row r="447" spans="2:4" ht="16.5" customHeight="1">
      <c r="B447" s="201"/>
      <c r="C447" s="6"/>
      <c r="D447" s="6"/>
    </row>
    <row r="448" spans="2:4" ht="16.5" customHeight="1">
      <c r="B448" s="201"/>
      <c r="C448" s="6"/>
      <c r="D448" s="6"/>
    </row>
    <row r="449" spans="2:4" ht="16.5" customHeight="1">
      <c r="B449" s="201"/>
      <c r="C449" s="6"/>
      <c r="D449" s="6"/>
    </row>
    <row r="450" spans="2:4" ht="16.5" customHeight="1">
      <c r="B450" s="201"/>
      <c r="C450" s="6"/>
      <c r="D450" s="6"/>
    </row>
    <row r="451" spans="2:4" ht="16.5" customHeight="1">
      <c r="B451" s="201"/>
      <c r="C451" s="6"/>
      <c r="D451" s="6"/>
    </row>
    <row r="452" spans="2:4" ht="16.5" customHeight="1">
      <c r="B452" s="201"/>
      <c r="C452" s="6"/>
      <c r="D452" s="6"/>
    </row>
    <row r="453" spans="2:4" ht="16.5" customHeight="1">
      <c r="B453" s="201"/>
      <c r="C453" s="6"/>
      <c r="D453" s="6"/>
    </row>
    <row r="454" spans="2:4" ht="16.5" customHeight="1">
      <c r="B454" s="201"/>
      <c r="C454" s="6"/>
      <c r="D454" s="6"/>
    </row>
    <row r="455" spans="2:4" ht="16.5" customHeight="1">
      <c r="B455" s="201"/>
      <c r="C455" s="6"/>
      <c r="D455" s="6"/>
    </row>
    <row r="456" spans="2:4" ht="16.5" customHeight="1">
      <c r="B456" s="201"/>
      <c r="C456" s="6"/>
      <c r="D456" s="6"/>
    </row>
    <row r="457" spans="2:4" ht="16.5" customHeight="1">
      <c r="B457" s="201"/>
      <c r="C457" s="6"/>
      <c r="D457" s="6"/>
    </row>
    <row r="458" spans="2:4" ht="16.5" customHeight="1">
      <c r="B458" s="201"/>
      <c r="C458" s="6"/>
      <c r="D458" s="6"/>
    </row>
    <row r="459" spans="2:4" ht="16.5" customHeight="1">
      <c r="B459" s="201"/>
      <c r="C459" s="6"/>
      <c r="D459" s="6"/>
    </row>
    <row r="460" spans="2:4" ht="16.5" customHeight="1">
      <c r="B460" s="201"/>
      <c r="C460" s="6"/>
      <c r="D460" s="6"/>
    </row>
    <row r="461" spans="2:4" ht="16.5" customHeight="1">
      <c r="B461" s="201"/>
      <c r="C461" s="6"/>
      <c r="D461" s="6"/>
    </row>
    <row r="462" spans="2:4" ht="16.5" customHeight="1">
      <c r="B462" s="201"/>
      <c r="C462" s="6"/>
      <c r="D462" s="6"/>
    </row>
    <row r="463" spans="2:4" ht="16.5" customHeight="1">
      <c r="B463" s="201"/>
      <c r="C463" s="6"/>
      <c r="D463" s="6"/>
    </row>
    <row r="464" spans="2:4" ht="16.5" customHeight="1">
      <c r="B464" s="201"/>
      <c r="C464" s="6"/>
      <c r="D464" s="6"/>
    </row>
    <row r="465" spans="2:4" ht="16.5" customHeight="1">
      <c r="B465" s="201"/>
      <c r="C465" s="6"/>
      <c r="D465" s="6"/>
    </row>
    <row r="466" spans="2:4" ht="16.5" customHeight="1">
      <c r="B466" s="201"/>
      <c r="C466" s="6"/>
      <c r="D466" s="6"/>
    </row>
    <row r="467" spans="2:4" ht="16.5" customHeight="1">
      <c r="B467" s="201"/>
      <c r="C467" s="6"/>
      <c r="D467" s="6"/>
    </row>
    <row r="468" spans="2:4" ht="16.5" customHeight="1">
      <c r="B468" s="201"/>
      <c r="C468" s="6"/>
      <c r="D468" s="6"/>
    </row>
    <row r="469" spans="2:4" ht="16.5" customHeight="1">
      <c r="B469" s="201"/>
      <c r="C469" s="6"/>
      <c r="D469" s="6"/>
    </row>
    <row r="470" spans="2:4" ht="16.5" customHeight="1">
      <c r="B470" s="201"/>
      <c r="C470" s="6"/>
      <c r="D470" s="6"/>
    </row>
    <row r="471" spans="2:4" ht="16.5" customHeight="1">
      <c r="B471" s="201"/>
      <c r="C471" s="6"/>
      <c r="D471" s="6"/>
    </row>
    <row r="472" spans="2:4" ht="16.5" customHeight="1">
      <c r="B472" s="201"/>
      <c r="C472" s="6"/>
      <c r="D472" s="6"/>
    </row>
    <row r="473" spans="2:4" ht="16.5" customHeight="1">
      <c r="B473" s="201"/>
      <c r="C473" s="6"/>
      <c r="D473" s="6"/>
    </row>
    <row r="474" spans="2:4" ht="16.5" customHeight="1">
      <c r="B474" s="201"/>
      <c r="C474" s="6"/>
      <c r="D474" s="6"/>
    </row>
    <row r="475" spans="2:4" ht="16.5" customHeight="1">
      <c r="B475" s="201"/>
      <c r="C475" s="6"/>
      <c r="D475" s="6"/>
    </row>
    <row r="476" spans="2:4" ht="16.5" customHeight="1">
      <c r="B476" s="201"/>
      <c r="C476" s="6"/>
      <c r="D476" s="6"/>
    </row>
    <row r="477" spans="2:4" ht="16.5" customHeight="1">
      <c r="B477" s="201"/>
      <c r="C477" s="6"/>
      <c r="D477" s="6"/>
    </row>
    <row r="478" spans="2:4" ht="16.5" customHeight="1">
      <c r="B478" s="201"/>
      <c r="C478" s="6"/>
      <c r="D478" s="6"/>
    </row>
    <row r="479" spans="2:4" ht="16.5" customHeight="1">
      <c r="B479" s="201"/>
      <c r="C479" s="6"/>
      <c r="D479" s="6"/>
    </row>
    <row r="480" spans="2:4" ht="16.5" customHeight="1">
      <c r="B480" s="201"/>
      <c r="C480" s="6"/>
      <c r="D480" s="6"/>
    </row>
    <row r="481" spans="2:4" ht="16.5" customHeight="1">
      <c r="B481" s="201"/>
      <c r="C481" s="6"/>
      <c r="D481" s="6"/>
    </row>
    <row r="482" spans="2:4" ht="16.5" customHeight="1">
      <c r="B482" s="201"/>
      <c r="C482" s="6"/>
      <c r="D482" s="6"/>
    </row>
    <row r="483" spans="2:4" ht="16.5" customHeight="1">
      <c r="B483" s="201"/>
      <c r="C483" s="6"/>
      <c r="D483" s="6"/>
    </row>
    <row r="484" spans="2:4" ht="16.5" customHeight="1">
      <c r="B484" s="201"/>
      <c r="C484" s="6"/>
      <c r="D484" s="6"/>
    </row>
    <row r="485" spans="2:4" ht="16.5" customHeight="1">
      <c r="B485" s="201"/>
      <c r="C485" s="6"/>
      <c r="D485" s="6"/>
    </row>
    <row r="486" spans="2:4" ht="16.5" customHeight="1">
      <c r="B486" s="201"/>
      <c r="C486" s="6"/>
      <c r="D486" s="6"/>
    </row>
    <row r="487" spans="2:4" ht="16.5" customHeight="1">
      <c r="B487" s="201"/>
      <c r="C487" s="6"/>
      <c r="D487" s="6"/>
    </row>
    <row r="488" spans="2:4" ht="16.5" customHeight="1">
      <c r="B488" s="201"/>
      <c r="C488" s="6"/>
      <c r="D488" s="6"/>
    </row>
    <row r="489" spans="2:4" ht="16.5" customHeight="1">
      <c r="B489" s="201"/>
      <c r="C489" s="6"/>
      <c r="D489" s="6"/>
    </row>
    <row r="490" spans="2:4" ht="16.5" customHeight="1">
      <c r="B490" s="201"/>
      <c r="C490" s="6"/>
      <c r="D490" s="6"/>
    </row>
    <row r="491" spans="2:4" ht="16.5" customHeight="1">
      <c r="B491" s="201"/>
      <c r="C491" s="6"/>
      <c r="D491" s="6"/>
    </row>
    <row r="492" spans="2:4" ht="16.5" customHeight="1">
      <c r="B492" s="201"/>
      <c r="C492" s="6"/>
      <c r="D492" s="6"/>
    </row>
    <row r="493" spans="2:4" ht="16.5" customHeight="1">
      <c r="B493" s="201"/>
      <c r="C493" s="6"/>
      <c r="D493" s="6"/>
    </row>
    <row r="494" spans="2:4" ht="16.5" customHeight="1">
      <c r="B494" s="201"/>
      <c r="C494" s="6"/>
      <c r="D494" s="6"/>
    </row>
    <row r="495" spans="2:4" ht="16.5" customHeight="1">
      <c r="B495" s="201"/>
      <c r="C495" s="6"/>
      <c r="D495" s="6"/>
    </row>
    <row r="496" spans="2:4" ht="16.5" customHeight="1">
      <c r="B496" s="201"/>
      <c r="C496" s="6"/>
      <c r="D496" s="6"/>
    </row>
    <row r="497" spans="2:4" ht="16.5" customHeight="1">
      <c r="B497" s="201"/>
      <c r="C497" s="6"/>
      <c r="D497" s="6"/>
    </row>
    <row r="498" spans="2:4" ht="16.5" customHeight="1">
      <c r="B498" s="201"/>
      <c r="C498" s="6"/>
      <c r="D498" s="6"/>
    </row>
    <row r="499" spans="2:4" ht="16.5" customHeight="1">
      <c r="B499" s="201"/>
      <c r="C499" s="6"/>
      <c r="D499" s="6"/>
    </row>
    <row r="500" spans="2:4" ht="16.5" customHeight="1">
      <c r="B500" s="201"/>
      <c r="C500" s="6"/>
      <c r="D500" s="6"/>
    </row>
    <row r="501" spans="2:4" ht="16.5" customHeight="1">
      <c r="B501" s="201"/>
      <c r="C501" s="6"/>
      <c r="D501" s="6"/>
    </row>
    <row r="502" spans="2:4" ht="16.5" customHeight="1">
      <c r="B502" s="201"/>
      <c r="C502" s="6"/>
      <c r="D502" s="6"/>
    </row>
    <row r="503" spans="2:4" ht="16.5" customHeight="1">
      <c r="B503" s="201"/>
      <c r="C503" s="6"/>
      <c r="D503" s="6"/>
    </row>
    <row r="504" spans="2:4" ht="16.5" customHeight="1">
      <c r="B504" s="201"/>
      <c r="C504" s="6"/>
      <c r="D504" s="6"/>
    </row>
    <row r="505" spans="2:4" ht="16.5" customHeight="1">
      <c r="B505" s="201"/>
      <c r="C505" s="18"/>
      <c r="D505" s="6"/>
    </row>
    <row r="506" spans="2:4" ht="16.5" customHeight="1">
      <c r="B506" s="201"/>
      <c r="C506" s="18"/>
      <c r="D506" s="6"/>
    </row>
    <row r="507" spans="2:4" ht="16.5" customHeight="1">
      <c r="B507" s="201"/>
      <c r="C507" s="18"/>
      <c r="D507" s="6"/>
    </row>
    <row r="508" spans="2:4" ht="16.5" customHeight="1">
      <c r="B508" s="201"/>
      <c r="C508" s="18"/>
      <c r="D508" s="6"/>
    </row>
    <row r="509" spans="2:4" ht="16.5" customHeight="1">
      <c r="B509" s="201"/>
      <c r="C509" s="18"/>
      <c r="D509" s="6"/>
    </row>
    <row r="510" spans="2:4" ht="16.5" customHeight="1">
      <c r="B510" s="201"/>
      <c r="C510" s="18"/>
      <c r="D510" s="6"/>
    </row>
    <row r="511" spans="2:4" ht="16.5" customHeight="1">
      <c r="B511" s="201"/>
      <c r="C511" s="18"/>
      <c r="D511" s="6"/>
    </row>
    <row r="512" spans="2:4" ht="16.5" customHeight="1">
      <c r="B512" s="201"/>
      <c r="C512" s="18"/>
      <c r="D512" s="6"/>
    </row>
    <row r="513" spans="2:4" ht="16.5" customHeight="1">
      <c r="B513" s="201"/>
      <c r="C513" s="18"/>
      <c r="D513" s="6"/>
    </row>
    <row r="514" spans="2:4" ht="16.5" customHeight="1">
      <c r="B514" s="201"/>
      <c r="C514" s="18"/>
      <c r="D514" s="6"/>
    </row>
    <row r="515" spans="2:4" ht="16.5" customHeight="1">
      <c r="B515" s="201"/>
      <c r="C515" s="18"/>
      <c r="D515" s="6"/>
    </row>
    <row r="516" spans="2:4" ht="16.5" customHeight="1">
      <c r="B516" s="201"/>
      <c r="C516" s="18"/>
      <c r="D516" s="6"/>
    </row>
    <row r="517" spans="2:4" ht="16.5" customHeight="1">
      <c r="B517" s="201"/>
      <c r="C517" s="18"/>
      <c r="D517" s="6"/>
    </row>
    <row r="518" spans="2:4" ht="16.5" customHeight="1">
      <c r="B518" s="201"/>
      <c r="C518" s="18"/>
      <c r="D518" s="6"/>
    </row>
    <row r="519" spans="2:4" ht="16.5" customHeight="1">
      <c r="B519" s="201"/>
      <c r="C519" s="18"/>
      <c r="D519" s="6"/>
    </row>
    <row r="520" spans="2:4" ht="16.5" customHeight="1">
      <c r="B520" s="201"/>
      <c r="C520" s="18"/>
      <c r="D520" s="6"/>
    </row>
    <row r="521" spans="2:4" ht="16.5" customHeight="1">
      <c r="B521" s="201"/>
      <c r="C521" s="18"/>
      <c r="D521" s="6"/>
    </row>
    <row r="522" spans="2:4" ht="16.5" customHeight="1">
      <c r="B522" s="201"/>
      <c r="C522" s="18"/>
      <c r="D522" s="6"/>
    </row>
    <row r="523" spans="2:4" ht="16.5" customHeight="1">
      <c r="B523" s="201"/>
      <c r="C523" s="18"/>
      <c r="D523" s="6"/>
    </row>
    <row r="524" spans="2:4" ht="16.5" customHeight="1">
      <c r="B524" s="201"/>
      <c r="C524" s="18"/>
      <c r="D524" s="6"/>
    </row>
    <row r="525" spans="2:4" ht="16.5" customHeight="1">
      <c r="B525" s="201"/>
      <c r="C525" s="18"/>
      <c r="D525" s="6"/>
    </row>
    <row r="526" spans="2:4" ht="16.5" customHeight="1">
      <c r="B526" s="201"/>
      <c r="C526" s="18"/>
      <c r="D526" s="6"/>
    </row>
    <row r="527" spans="2:4" ht="16.5" customHeight="1">
      <c r="B527" s="201"/>
      <c r="C527" s="18"/>
      <c r="D527" s="6"/>
    </row>
    <row r="528" spans="2:4" ht="16.5" customHeight="1">
      <c r="B528" s="201"/>
      <c r="C528" s="18"/>
      <c r="D528" s="6"/>
    </row>
    <row r="529" spans="2:4" ht="16.5" customHeight="1">
      <c r="B529" s="201"/>
      <c r="C529" s="18"/>
      <c r="D529" s="6"/>
    </row>
    <row r="530" spans="2:4" ht="16.5" customHeight="1">
      <c r="B530" s="201"/>
      <c r="C530" s="18"/>
      <c r="D530" s="6"/>
    </row>
    <row r="531" spans="2:4" ht="16.5" customHeight="1">
      <c r="B531" s="201"/>
      <c r="C531" s="18"/>
      <c r="D531" s="6"/>
    </row>
    <row r="532" spans="2:4" ht="16.5" customHeight="1">
      <c r="B532" s="201"/>
      <c r="C532" s="18"/>
      <c r="D532" s="6"/>
    </row>
    <row r="533" spans="2:4" ht="16.5" customHeight="1">
      <c r="B533" s="201"/>
      <c r="C533" s="18"/>
      <c r="D533" s="6"/>
    </row>
    <row r="534" spans="2:4" ht="16.5" customHeight="1">
      <c r="B534" s="201"/>
      <c r="C534" s="18"/>
      <c r="D534" s="6"/>
    </row>
    <row r="535" spans="2:4" ht="16.5" customHeight="1">
      <c r="B535" s="201"/>
      <c r="C535" s="18"/>
      <c r="D535" s="6"/>
    </row>
    <row r="536" spans="2:4" ht="16.5" customHeight="1">
      <c r="B536" s="201"/>
      <c r="C536" s="18"/>
      <c r="D536" s="6"/>
    </row>
    <row r="537" spans="2:4" ht="16.5" customHeight="1">
      <c r="B537" s="201"/>
      <c r="C537" s="18"/>
      <c r="D537" s="6"/>
    </row>
    <row r="538" spans="2:4" ht="16.5" customHeight="1">
      <c r="B538" s="201"/>
      <c r="C538" s="18"/>
      <c r="D538" s="6"/>
    </row>
    <row r="539" spans="2:4" ht="16.5" customHeight="1">
      <c r="B539" s="201"/>
      <c r="C539" s="18"/>
      <c r="D539" s="6"/>
    </row>
    <row r="540" spans="2:4" ht="16.5" customHeight="1">
      <c r="B540" s="201"/>
      <c r="C540" s="18"/>
      <c r="D540" s="6"/>
    </row>
    <row r="541" spans="2:4" ht="16.5" customHeight="1">
      <c r="B541" s="201"/>
      <c r="C541" s="18"/>
      <c r="D541" s="6"/>
    </row>
    <row r="542" spans="2:4" ht="16.5" customHeight="1">
      <c r="B542" s="201"/>
      <c r="C542" s="18"/>
      <c r="D542" s="6"/>
    </row>
    <row r="543" spans="2:4" ht="16.5" customHeight="1">
      <c r="B543" s="201"/>
      <c r="C543" s="18"/>
      <c r="D543" s="6"/>
    </row>
    <row r="544" spans="2:4" ht="16.5" customHeight="1">
      <c r="B544" s="201"/>
      <c r="C544" s="18"/>
      <c r="D544" s="6"/>
    </row>
    <row r="545" spans="2:4" ht="16.5" customHeight="1">
      <c r="B545" s="201"/>
      <c r="C545" s="18"/>
      <c r="D545" s="6"/>
    </row>
    <row r="546" spans="2:4" ht="16.5" customHeight="1">
      <c r="B546" s="201"/>
      <c r="C546" s="18"/>
      <c r="D546" s="6"/>
    </row>
    <row r="547" spans="2:4" ht="16.5" customHeight="1">
      <c r="B547" s="201"/>
      <c r="C547" s="18"/>
      <c r="D547" s="6"/>
    </row>
    <row r="548" spans="2:4" ht="16.5" customHeight="1">
      <c r="B548" s="201"/>
      <c r="C548" s="18"/>
      <c r="D548" s="6"/>
    </row>
    <row r="549" spans="2:4" ht="16.5" customHeight="1">
      <c r="B549" s="201"/>
      <c r="C549" s="18"/>
      <c r="D549" s="6"/>
    </row>
    <row r="550" spans="2:4" ht="16.5" customHeight="1">
      <c r="B550" s="201"/>
      <c r="C550" s="18"/>
      <c r="D550" s="6"/>
    </row>
    <row r="551" spans="2:4" ht="16.5" customHeight="1">
      <c r="B551" s="201"/>
      <c r="C551" s="18"/>
      <c r="D551" s="6"/>
    </row>
    <row r="552" spans="2:4" ht="16.5" customHeight="1">
      <c r="B552" s="201"/>
      <c r="C552" s="18"/>
      <c r="D552" s="6"/>
    </row>
    <row r="553" spans="2:4" ht="16.5" customHeight="1">
      <c r="B553" s="201"/>
      <c r="C553" s="18"/>
      <c r="D553" s="6"/>
    </row>
    <row r="554" spans="2:4" ht="16.5" customHeight="1">
      <c r="B554" s="201"/>
      <c r="C554" s="18"/>
      <c r="D554" s="6"/>
    </row>
    <row r="555" spans="2:4" ht="16.5" customHeight="1">
      <c r="B555" s="201"/>
      <c r="C555" s="18"/>
      <c r="D555" s="6"/>
    </row>
    <row r="556" spans="2:4" ht="16.5" customHeight="1">
      <c r="B556" s="201"/>
      <c r="C556" s="18"/>
      <c r="D556" s="6"/>
    </row>
    <row r="557" spans="2:4" ht="16.5" customHeight="1">
      <c r="B557" s="201"/>
      <c r="C557" s="18"/>
      <c r="D557" s="6"/>
    </row>
    <row r="558" spans="2:4" ht="16.5" customHeight="1">
      <c r="B558" s="201"/>
      <c r="C558" s="18"/>
      <c r="D558" s="6"/>
    </row>
    <row r="559" spans="2:4" ht="16.5" customHeight="1">
      <c r="B559" s="201"/>
      <c r="C559" s="18"/>
      <c r="D559" s="6"/>
    </row>
    <row r="560" spans="2:4" ht="16.5" customHeight="1">
      <c r="B560" s="201"/>
      <c r="C560" s="18"/>
      <c r="D560" s="6"/>
    </row>
    <row r="561" spans="2:4" ht="16.5" customHeight="1">
      <c r="B561" s="201"/>
      <c r="C561" s="18"/>
      <c r="D561" s="6"/>
    </row>
    <row r="562" spans="2:4" ht="16.5" customHeight="1">
      <c r="B562" s="201"/>
      <c r="C562" s="18"/>
      <c r="D562" s="6"/>
    </row>
    <row r="563" spans="2:4" ht="16.5" customHeight="1">
      <c r="B563" s="201"/>
      <c r="C563" s="18"/>
      <c r="D563" s="6"/>
    </row>
    <row r="564" spans="2:4" ht="16.5" customHeight="1">
      <c r="B564" s="201"/>
      <c r="C564" s="18"/>
      <c r="D564" s="6"/>
    </row>
    <row r="565" spans="2:4" ht="16.5" customHeight="1">
      <c r="B565" s="201"/>
      <c r="C565" s="18"/>
      <c r="D565" s="6"/>
    </row>
    <row r="566" spans="2:4" ht="16.5" customHeight="1">
      <c r="B566" s="201"/>
      <c r="C566" s="18"/>
      <c r="D566" s="6"/>
    </row>
    <row r="567" spans="2:4" ht="16.5" customHeight="1">
      <c r="B567" s="201"/>
      <c r="C567" s="18"/>
      <c r="D567" s="6"/>
    </row>
    <row r="568" spans="2:4" ht="16.5" customHeight="1">
      <c r="B568" s="201"/>
      <c r="C568" s="18"/>
      <c r="D568" s="6"/>
    </row>
    <row r="569" spans="2:4" ht="16.5" customHeight="1">
      <c r="B569" s="201"/>
      <c r="C569" s="18"/>
      <c r="D569" s="6"/>
    </row>
    <row r="570" spans="2:4" ht="16.5" customHeight="1">
      <c r="B570" s="201"/>
      <c r="C570" s="18"/>
      <c r="D570" s="6"/>
    </row>
    <row r="571" spans="2:4" ht="16.5" customHeight="1">
      <c r="B571" s="201"/>
      <c r="C571" s="18"/>
      <c r="D571" s="6"/>
    </row>
    <row r="572" spans="2:4" ht="16.5" customHeight="1">
      <c r="B572" s="201"/>
      <c r="C572" s="18"/>
      <c r="D572" s="6"/>
    </row>
    <row r="573" spans="2:4" ht="16.5" customHeight="1">
      <c r="B573" s="201"/>
      <c r="C573" s="18"/>
      <c r="D573" s="6"/>
    </row>
    <row r="574" spans="2:4" ht="16.5" customHeight="1">
      <c r="B574" s="201"/>
      <c r="C574" s="18"/>
      <c r="D574" s="6"/>
    </row>
    <row r="575" spans="2:4" ht="16.5" customHeight="1">
      <c r="B575" s="201"/>
      <c r="C575" s="18"/>
      <c r="D575" s="6"/>
    </row>
    <row r="576" spans="2:4" ht="16.5" customHeight="1">
      <c r="B576" s="201"/>
      <c r="C576" s="18"/>
      <c r="D576" s="6"/>
    </row>
    <row r="577" spans="2:4" ht="16.5" customHeight="1">
      <c r="B577" s="201"/>
      <c r="C577" s="18"/>
      <c r="D577" s="6"/>
    </row>
    <row r="578" spans="2:4" ht="16.5" customHeight="1">
      <c r="B578" s="201"/>
      <c r="C578" s="18"/>
      <c r="D578" s="6"/>
    </row>
    <row r="579" spans="2:4" ht="16.5" customHeight="1">
      <c r="B579" s="201"/>
      <c r="C579" s="18"/>
      <c r="D579" s="6"/>
    </row>
    <row r="580" spans="2:4" ht="16.5" customHeight="1">
      <c r="B580" s="201"/>
      <c r="C580" s="18"/>
      <c r="D580" s="6"/>
    </row>
    <row r="581" spans="2:4" ht="16.5" customHeight="1">
      <c r="B581" s="201"/>
      <c r="C581" s="18"/>
      <c r="D581" s="6"/>
    </row>
    <row r="582" spans="2:4" ht="16.5" customHeight="1">
      <c r="B582" s="201"/>
      <c r="C582" s="18"/>
      <c r="D582" s="6"/>
    </row>
    <row r="583" spans="2:4" ht="16.5" customHeight="1">
      <c r="B583" s="201"/>
      <c r="C583" s="18"/>
      <c r="D583" s="6"/>
    </row>
    <row r="584" spans="2:4" ht="16.5" customHeight="1">
      <c r="B584" s="201"/>
      <c r="C584" s="18"/>
      <c r="D584" s="6"/>
    </row>
    <row r="585" spans="2:4" ht="16.5" customHeight="1">
      <c r="B585" s="201"/>
      <c r="C585" s="18"/>
      <c r="D585" s="6"/>
    </row>
    <row r="586" spans="2:4" ht="16.5" customHeight="1">
      <c r="B586" s="201"/>
      <c r="C586" s="18"/>
      <c r="D586" s="6"/>
    </row>
    <row r="587" spans="2:4" ht="16.5" customHeight="1">
      <c r="B587" s="201"/>
      <c r="C587" s="18"/>
      <c r="D587" s="6"/>
    </row>
    <row r="588" spans="2:4" ht="16.5" customHeight="1">
      <c r="B588" s="201"/>
      <c r="C588" s="18"/>
      <c r="D588" s="6"/>
    </row>
    <row r="589" spans="2:4" ht="16.5" customHeight="1">
      <c r="B589" s="201"/>
      <c r="C589" s="18"/>
      <c r="D589" s="6"/>
    </row>
    <row r="590" spans="2:4" ht="16.5" customHeight="1">
      <c r="B590" s="201"/>
      <c r="C590" s="18"/>
      <c r="D590" s="6"/>
    </row>
    <row r="591" spans="2:4" ht="16.5" customHeight="1">
      <c r="B591" s="201"/>
      <c r="C591" s="18"/>
      <c r="D591" s="6"/>
    </row>
    <row r="592" spans="2:4" ht="16.5" customHeight="1">
      <c r="B592" s="201"/>
      <c r="C592" s="18"/>
      <c r="D592" s="6"/>
    </row>
    <row r="593" spans="2:4" ht="16.5" customHeight="1">
      <c r="B593" s="201"/>
      <c r="C593" s="18"/>
      <c r="D593" s="6"/>
    </row>
    <row r="594" spans="2:4" ht="16.5" customHeight="1">
      <c r="B594" s="201"/>
      <c r="C594" s="18"/>
      <c r="D594" s="6"/>
    </row>
    <row r="595" spans="2:4" ht="16.5" customHeight="1">
      <c r="B595" s="201"/>
      <c r="C595" s="18"/>
      <c r="D595" s="6"/>
    </row>
    <row r="596" spans="2:4" ht="16.5" customHeight="1">
      <c r="B596" s="201"/>
      <c r="C596" s="18"/>
      <c r="D596" s="6"/>
    </row>
    <row r="597" spans="2:4" ht="16.5" customHeight="1">
      <c r="B597" s="201"/>
      <c r="C597" s="18"/>
      <c r="D597" s="6"/>
    </row>
    <row r="598" spans="2:4" ht="16.5" customHeight="1">
      <c r="B598" s="201"/>
      <c r="C598" s="18"/>
      <c r="D598" s="6"/>
    </row>
    <row r="599" spans="1:4" ht="16.5" customHeight="1">
      <c r="A599" s="207"/>
      <c r="B599" s="207"/>
      <c r="C599" s="18"/>
      <c r="D599" s="6"/>
    </row>
    <row r="600" spans="1:4" ht="16.5" customHeight="1">
      <c r="A600" s="207"/>
      <c r="B600" s="207"/>
      <c r="C600" s="18"/>
      <c r="D600" s="6"/>
    </row>
    <row r="601" spans="1:4" ht="16.5" customHeight="1">
      <c r="A601" s="207"/>
      <c r="B601" s="207"/>
      <c r="C601" s="18"/>
      <c r="D601" s="6"/>
    </row>
    <row r="602" spans="1:4" ht="16.5" customHeight="1">
      <c r="A602" s="207"/>
      <c r="B602" s="207"/>
      <c r="C602" s="18"/>
      <c r="D602" s="6"/>
    </row>
    <row r="603" spans="1:4" ht="16.5" customHeight="1">
      <c r="A603" s="215"/>
      <c r="B603" s="215"/>
      <c r="C603" s="18"/>
      <c r="D603" s="6"/>
    </row>
    <row r="604" spans="1:4" ht="16.5" customHeight="1">
      <c r="A604" s="215"/>
      <c r="B604" s="215"/>
      <c r="C604" s="18"/>
      <c r="D604" s="6"/>
    </row>
    <row r="605" spans="1:4" ht="16.5" customHeight="1">
      <c r="A605" s="215"/>
      <c r="B605" s="215"/>
      <c r="C605" s="18"/>
      <c r="D605" s="6"/>
    </row>
    <row r="606" spans="1:4" ht="16.5" customHeight="1">
      <c r="A606" s="215"/>
      <c r="B606" s="215"/>
      <c r="C606" s="18"/>
      <c r="D606" s="6"/>
    </row>
    <row r="607" spans="1:4" ht="16.5" customHeight="1">
      <c r="A607" s="215"/>
      <c r="B607" s="215"/>
      <c r="C607" s="18"/>
      <c r="D607" s="6"/>
    </row>
    <row r="608" spans="1:4" ht="16.5" customHeight="1">
      <c r="A608" s="215"/>
      <c r="B608" s="215"/>
      <c r="C608" s="18"/>
      <c r="D608" s="6"/>
    </row>
    <row r="609" spans="1:4" ht="16.5" customHeight="1">
      <c r="A609" s="215"/>
      <c r="B609" s="215"/>
      <c r="C609" s="18"/>
      <c r="D609" s="6"/>
    </row>
    <row r="610" spans="1:4" ht="16.5" customHeight="1">
      <c r="A610" s="215"/>
      <c r="B610" s="215"/>
      <c r="C610" s="18"/>
      <c r="D610" s="6"/>
    </row>
    <row r="611" spans="1:4" ht="16.5" customHeight="1">
      <c r="A611" s="215"/>
      <c r="B611" s="215"/>
      <c r="C611" s="18"/>
      <c r="D611" s="6"/>
    </row>
    <row r="612" spans="1:4" ht="16.5" customHeight="1">
      <c r="A612" s="215"/>
      <c r="B612" s="215"/>
      <c r="C612" s="18"/>
      <c r="D612" s="6"/>
    </row>
    <row r="613" spans="1:4" ht="16.5" customHeight="1">
      <c r="A613" s="215"/>
      <c r="B613" s="215"/>
      <c r="C613" s="18"/>
      <c r="D613" s="6"/>
    </row>
    <row r="614" spans="1:4" ht="16.5" customHeight="1">
      <c r="A614" s="215"/>
      <c r="B614" s="215"/>
      <c r="C614" s="18"/>
      <c r="D614" s="6"/>
    </row>
    <row r="615" spans="1:4" ht="16.5" customHeight="1">
      <c r="A615" s="215"/>
      <c r="B615" s="215"/>
      <c r="C615" s="18"/>
      <c r="D615" s="6"/>
    </row>
    <row r="616" spans="1:4" ht="16.5" customHeight="1">
      <c r="A616" s="215"/>
      <c r="B616" s="215"/>
      <c r="C616" s="18"/>
      <c r="D616" s="6"/>
    </row>
    <row r="617" spans="1:4" ht="16.5" customHeight="1">
      <c r="A617" s="215"/>
      <c r="B617" s="215"/>
      <c r="C617" s="18"/>
      <c r="D617" s="6"/>
    </row>
    <row r="618" spans="1:4" ht="16.5" customHeight="1">
      <c r="A618" s="215"/>
      <c r="B618" s="215"/>
      <c r="C618" s="18"/>
      <c r="D618" s="6"/>
    </row>
    <row r="619" spans="1:4" ht="16.5" customHeight="1">
      <c r="A619" s="215"/>
      <c r="B619" s="215"/>
      <c r="C619" s="18"/>
      <c r="D619" s="6"/>
    </row>
    <row r="620" spans="1:4" ht="16.5" customHeight="1">
      <c r="A620" s="215"/>
      <c r="B620" s="215"/>
      <c r="C620" s="18"/>
      <c r="D620" s="6"/>
    </row>
    <row r="621" spans="1:4" ht="16.5" customHeight="1">
      <c r="A621" s="215"/>
      <c r="B621" s="215"/>
      <c r="C621" s="18"/>
      <c r="D621" s="6"/>
    </row>
    <row r="622" spans="1:4" ht="16.5" customHeight="1">
      <c r="A622" s="215"/>
      <c r="B622" s="215"/>
      <c r="C622" s="18"/>
      <c r="D622" s="6"/>
    </row>
    <row r="623" spans="1:4" ht="16.5" customHeight="1">
      <c r="A623" s="215"/>
      <c r="B623" s="215"/>
      <c r="C623" s="18"/>
      <c r="D623" s="6"/>
    </row>
    <row r="624" spans="1:4" ht="16.5" customHeight="1">
      <c r="A624" s="215"/>
      <c r="B624" s="217"/>
      <c r="C624" s="18"/>
      <c r="D624" s="6"/>
    </row>
    <row r="625" spans="1:4" ht="16.5" customHeight="1">
      <c r="A625" s="215"/>
      <c r="B625" s="218"/>
      <c r="C625" s="18"/>
      <c r="D625" s="6"/>
    </row>
    <row r="626" spans="1:4" ht="16.5" customHeight="1">
      <c r="A626" s="215"/>
      <c r="B626" s="215"/>
      <c r="C626" s="18"/>
      <c r="D626" s="6"/>
    </row>
    <row r="627" spans="1:4" ht="16.5" customHeight="1">
      <c r="A627" s="215"/>
      <c r="B627" s="215"/>
      <c r="C627" s="18"/>
      <c r="D627" s="6"/>
    </row>
    <row r="628" spans="1:4" ht="16.5" customHeight="1">
      <c r="A628" s="215"/>
      <c r="B628" s="215"/>
      <c r="C628" s="18"/>
      <c r="D628" s="6"/>
    </row>
    <row r="629" spans="1:4" ht="16.5" customHeight="1">
      <c r="A629" s="215"/>
      <c r="B629" s="215"/>
      <c r="C629" s="18"/>
      <c r="D629" s="6"/>
    </row>
    <row r="630" spans="1:4" ht="16.5" customHeight="1">
      <c r="A630" s="215"/>
      <c r="B630" s="215"/>
      <c r="C630" s="18"/>
      <c r="D630" s="6"/>
    </row>
    <row r="631" spans="1:4" ht="16.5" customHeight="1">
      <c r="A631" s="215"/>
      <c r="B631" s="215"/>
      <c r="C631" s="18"/>
      <c r="D631" s="6"/>
    </row>
    <row r="632" spans="1:4" ht="16.5" customHeight="1">
      <c r="A632" s="215"/>
      <c r="B632" s="215"/>
      <c r="C632" s="18"/>
      <c r="D632" s="6"/>
    </row>
    <row r="633" spans="1:4" ht="16.5" customHeight="1">
      <c r="A633" s="207"/>
      <c r="B633" s="207"/>
      <c r="C633" s="18"/>
      <c r="D633" s="6"/>
    </row>
    <row r="634" spans="1:4" ht="16.5" customHeight="1">
      <c r="A634" s="207"/>
      <c r="B634" s="207"/>
      <c r="C634" s="18"/>
      <c r="D634" s="6"/>
    </row>
    <row r="635" spans="1:4" ht="16.5" customHeight="1">
      <c r="A635" s="207"/>
      <c r="B635" s="207"/>
      <c r="C635" s="18"/>
      <c r="D635" s="6"/>
    </row>
    <row r="636" spans="1:4" ht="16.5" customHeight="1">
      <c r="A636" s="207"/>
      <c r="B636" s="207"/>
      <c r="C636" s="18"/>
      <c r="D636" s="6"/>
    </row>
    <row r="637" spans="1:4" ht="16.5" customHeight="1">
      <c r="A637" s="207"/>
      <c r="B637" s="207"/>
      <c r="C637" s="18"/>
      <c r="D637" s="6"/>
    </row>
    <row r="638" spans="1:4" ht="16.5" customHeight="1">
      <c r="A638" s="207"/>
      <c r="B638" s="207"/>
      <c r="C638" s="18"/>
      <c r="D638" s="6"/>
    </row>
    <row r="639" spans="2:4" ht="16.5" customHeight="1">
      <c r="B639" s="201"/>
      <c r="C639" s="18"/>
      <c r="D639" s="6"/>
    </row>
    <row r="640" spans="2:4" ht="16.5" customHeight="1">
      <c r="B640" s="201"/>
      <c r="C640" s="18"/>
      <c r="D640" s="6"/>
    </row>
    <row r="641" spans="2:4" ht="16.5" customHeight="1">
      <c r="B641" s="201"/>
      <c r="C641" s="18"/>
      <c r="D641" s="6"/>
    </row>
    <row r="642" spans="2:4" ht="16.5" customHeight="1">
      <c r="B642" s="201"/>
      <c r="C642" s="18"/>
      <c r="D642" s="6"/>
    </row>
    <row r="643" spans="2:4" ht="16.5" customHeight="1">
      <c r="B643" s="201"/>
      <c r="C643" s="18"/>
      <c r="D643" s="6"/>
    </row>
    <row r="644" spans="2:4" ht="16.5" customHeight="1">
      <c r="B644" s="201"/>
      <c r="C644" s="18"/>
      <c r="D644" s="6"/>
    </row>
    <row r="645" spans="2:4" ht="16.5" customHeight="1">
      <c r="B645" s="201"/>
      <c r="C645" s="18"/>
      <c r="D645" s="6"/>
    </row>
    <row r="646" spans="2:4" ht="16.5" customHeight="1">
      <c r="B646" s="201"/>
      <c r="C646" s="18"/>
      <c r="D646" s="6"/>
    </row>
    <row r="647" spans="2:4" ht="16.5" customHeight="1">
      <c r="B647" s="201"/>
      <c r="C647" s="18"/>
      <c r="D647" s="6"/>
    </row>
    <row r="648" spans="2:4" ht="16.5" customHeight="1">
      <c r="B648" s="201"/>
      <c r="C648" s="18"/>
      <c r="D648" s="6"/>
    </row>
    <row r="649" spans="2:4" ht="16.5" customHeight="1">
      <c r="B649" s="201"/>
      <c r="C649" s="18"/>
      <c r="D649" s="6"/>
    </row>
    <row r="650" spans="2:4" ht="16.5" customHeight="1">
      <c r="B650" s="201"/>
      <c r="C650" s="18"/>
      <c r="D650" s="6"/>
    </row>
    <row r="651" spans="2:4" ht="16.5" customHeight="1">
      <c r="B651" s="201"/>
      <c r="C651" s="18"/>
      <c r="D651" s="6"/>
    </row>
    <row r="652" spans="2:4" ht="16.5" customHeight="1">
      <c r="B652" s="201"/>
      <c r="C652" s="18"/>
      <c r="D652" s="6"/>
    </row>
    <row r="653" spans="2:4" ht="16.5" customHeight="1">
      <c r="B653" s="201"/>
      <c r="C653" s="18"/>
      <c r="D653" s="6"/>
    </row>
    <row r="654" spans="2:4" ht="16.5" customHeight="1">
      <c r="B654" s="201"/>
      <c r="C654" s="18"/>
      <c r="D654" s="6"/>
    </row>
    <row r="655" spans="2:4" ht="16.5" customHeight="1">
      <c r="B655" s="201"/>
      <c r="C655" s="18"/>
      <c r="D655" s="6"/>
    </row>
    <row r="656" spans="2:4" ht="16.5" customHeight="1">
      <c r="B656" s="201"/>
      <c r="C656" s="18"/>
      <c r="D656" s="6"/>
    </row>
    <row r="657" spans="2:4" ht="16.5" customHeight="1">
      <c r="B657" s="201"/>
      <c r="C657" s="18"/>
      <c r="D657" s="6"/>
    </row>
    <row r="658" spans="2:4" ht="16.5" customHeight="1">
      <c r="B658" s="201"/>
      <c r="C658" s="18"/>
      <c r="D658" s="6"/>
    </row>
    <row r="659" spans="2:4" ht="16.5" customHeight="1">
      <c r="B659" s="201"/>
      <c r="C659" s="18"/>
      <c r="D659" s="6"/>
    </row>
    <row r="660" spans="2:4" ht="16.5" customHeight="1">
      <c r="B660" s="201"/>
      <c r="C660" s="18"/>
      <c r="D660" s="6"/>
    </row>
    <row r="661" spans="2:4" ht="16.5" customHeight="1">
      <c r="B661" s="201"/>
      <c r="C661" s="18"/>
      <c r="D661" s="6"/>
    </row>
    <row r="662" spans="2:4" ht="16.5" customHeight="1">
      <c r="B662" s="201"/>
      <c r="C662" s="18"/>
      <c r="D662" s="6"/>
    </row>
    <row r="663" spans="2:4" ht="16.5" customHeight="1">
      <c r="B663" s="201"/>
      <c r="C663" s="18"/>
      <c r="D663" s="6"/>
    </row>
    <row r="664" spans="2:4" ht="16.5" customHeight="1">
      <c r="B664" s="201"/>
      <c r="C664" s="18"/>
      <c r="D664" s="6"/>
    </row>
    <row r="665" spans="2:4" ht="16.5" customHeight="1">
      <c r="B665" s="201"/>
      <c r="C665" s="18"/>
      <c r="D665" s="6"/>
    </row>
    <row r="666" spans="2:4" ht="16.5" customHeight="1">
      <c r="B666" s="201"/>
      <c r="C666" s="18"/>
      <c r="D666" s="6"/>
    </row>
    <row r="667" spans="2:4" ht="16.5" customHeight="1">
      <c r="B667" s="201"/>
      <c r="C667" s="18"/>
      <c r="D667" s="6"/>
    </row>
    <row r="668" spans="2:4" ht="16.5" customHeight="1">
      <c r="B668" s="201"/>
      <c r="C668" s="18"/>
      <c r="D668" s="6"/>
    </row>
    <row r="669" spans="2:4" ht="16.5" customHeight="1">
      <c r="B669" s="201"/>
      <c r="C669" s="18"/>
      <c r="D669" s="6"/>
    </row>
    <row r="670" spans="2:4" ht="16.5" customHeight="1">
      <c r="B670" s="201"/>
      <c r="C670" s="18"/>
      <c r="D670" s="6"/>
    </row>
    <row r="671" spans="2:4" ht="16.5" customHeight="1">
      <c r="B671" s="201"/>
      <c r="C671" s="18"/>
      <c r="D671" s="6"/>
    </row>
    <row r="672" spans="2:4" ht="16.5" customHeight="1">
      <c r="B672" s="201"/>
      <c r="C672" s="18"/>
      <c r="D672" s="6"/>
    </row>
    <row r="673" spans="2:4" ht="16.5" customHeight="1">
      <c r="B673" s="201"/>
      <c r="C673" s="18"/>
      <c r="D673" s="6"/>
    </row>
    <row r="674" spans="2:4" ht="16.5" customHeight="1">
      <c r="B674" s="201"/>
      <c r="C674" s="18"/>
      <c r="D674" s="6"/>
    </row>
    <row r="675" spans="2:4" ht="16.5" customHeight="1">
      <c r="B675" s="201"/>
      <c r="C675" s="18"/>
      <c r="D675" s="6"/>
    </row>
    <row r="676" spans="2:4" ht="16.5" customHeight="1">
      <c r="B676" s="201"/>
      <c r="C676" s="18"/>
      <c r="D676" s="6"/>
    </row>
    <row r="677" spans="2:4" ht="16.5" customHeight="1">
      <c r="B677" s="201"/>
      <c r="C677" s="18"/>
      <c r="D677" s="6"/>
    </row>
    <row r="678" spans="2:4" ht="16.5" customHeight="1">
      <c r="B678" s="201"/>
      <c r="C678" s="18"/>
      <c r="D678" s="6"/>
    </row>
    <row r="679" spans="2:4" ht="16.5" customHeight="1">
      <c r="B679" s="201"/>
      <c r="C679" s="18"/>
      <c r="D679" s="6"/>
    </row>
    <row r="680" spans="2:4" ht="16.5" customHeight="1">
      <c r="B680" s="201"/>
      <c r="C680" s="18"/>
      <c r="D680" s="6"/>
    </row>
    <row r="681" spans="2:4" ht="16.5" customHeight="1">
      <c r="B681" s="201"/>
      <c r="C681" s="18"/>
      <c r="D681" s="6"/>
    </row>
    <row r="682" spans="2:4" ht="16.5" customHeight="1">
      <c r="B682" s="201"/>
      <c r="C682" s="18"/>
      <c r="D682" s="6"/>
    </row>
    <row r="683" spans="2:4" ht="16.5" customHeight="1">
      <c r="B683" s="201"/>
      <c r="C683" s="18"/>
      <c r="D683" s="6"/>
    </row>
    <row r="684" spans="2:4" ht="16.5" customHeight="1">
      <c r="B684" s="201"/>
      <c r="C684" s="18"/>
      <c r="D684" s="6"/>
    </row>
    <row r="685" spans="2:4" ht="16.5" customHeight="1">
      <c r="B685" s="201"/>
      <c r="C685" s="18"/>
      <c r="D685" s="6"/>
    </row>
    <row r="686" spans="2:4" ht="16.5" customHeight="1">
      <c r="B686" s="201"/>
      <c r="C686" s="18"/>
      <c r="D686" s="6"/>
    </row>
    <row r="687" spans="2:4" ht="16.5" customHeight="1">
      <c r="B687" s="201"/>
      <c r="C687" s="18"/>
      <c r="D687" s="6"/>
    </row>
    <row r="688" spans="2:4" ht="16.5" customHeight="1">
      <c r="B688" s="201"/>
      <c r="C688" s="18"/>
      <c r="D688" s="6"/>
    </row>
    <row r="689" spans="2:4" ht="16.5" customHeight="1">
      <c r="B689" s="201"/>
      <c r="C689" s="18"/>
      <c r="D689" s="6"/>
    </row>
    <row r="690" spans="2:4" ht="16.5" customHeight="1">
      <c r="B690" s="201"/>
      <c r="C690" s="18"/>
      <c r="D690" s="6"/>
    </row>
    <row r="691" spans="2:4" ht="16.5" customHeight="1">
      <c r="B691" s="201"/>
      <c r="C691" s="18"/>
      <c r="D691" s="6"/>
    </row>
    <row r="692" spans="2:4" ht="16.5" customHeight="1">
      <c r="B692" s="201"/>
      <c r="C692" s="18"/>
      <c r="D692" s="6"/>
    </row>
    <row r="693" spans="2:4" ht="16.5" customHeight="1">
      <c r="B693" s="201"/>
      <c r="C693" s="18"/>
      <c r="D693" s="6"/>
    </row>
    <row r="694" spans="2:4" ht="16.5" customHeight="1">
      <c r="B694" s="201"/>
      <c r="C694" s="18"/>
      <c r="D694" s="6"/>
    </row>
    <row r="695" spans="2:4" ht="16.5" customHeight="1">
      <c r="B695" s="201"/>
      <c r="C695" s="18"/>
      <c r="D695" s="6"/>
    </row>
    <row r="696" spans="2:4" ht="16.5" customHeight="1">
      <c r="B696" s="201"/>
      <c r="C696" s="18"/>
      <c r="D696" s="6"/>
    </row>
    <row r="697" spans="2:4" ht="16.5" customHeight="1">
      <c r="B697" s="201"/>
      <c r="C697" s="18"/>
      <c r="D697" s="6"/>
    </row>
    <row r="698" spans="2:4" ht="16.5" customHeight="1">
      <c r="B698" s="201"/>
      <c r="C698" s="18"/>
      <c r="D698" s="6"/>
    </row>
    <row r="699" spans="2:4" ht="16.5" customHeight="1">
      <c r="B699" s="201"/>
      <c r="C699" s="18"/>
      <c r="D699" s="6"/>
    </row>
    <row r="700" spans="2:4" ht="16.5" customHeight="1">
      <c r="B700" s="201"/>
      <c r="C700" s="18"/>
      <c r="D700" s="6"/>
    </row>
    <row r="701" spans="2:4" ht="16.5" customHeight="1">
      <c r="B701" s="201"/>
      <c r="C701" s="18"/>
      <c r="D701" s="6"/>
    </row>
    <row r="702" spans="2:4" ht="16.5" customHeight="1">
      <c r="B702" s="201"/>
      <c r="C702" s="18"/>
      <c r="D702" s="6"/>
    </row>
    <row r="703" spans="2:4" ht="16.5" customHeight="1">
      <c r="B703" s="201"/>
      <c r="C703" s="18"/>
      <c r="D703" s="6"/>
    </row>
    <row r="704" spans="2:4" ht="16.5" customHeight="1">
      <c r="B704" s="201"/>
      <c r="C704" s="18"/>
      <c r="D704" s="6"/>
    </row>
    <row r="705" spans="2:4" ht="16.5" customHeight="1">
      <c r="B705" s="201"/>
      <c r="C705" s="18"/>
      <c r="D705" s="6"/>
    </row>
    <row r="706" spans="2:4" ht="16.5" customHeight="1">
      <c r="B706" s="201"/>
      <c r="C706" s="18"/>
      <c r="D706" s="6"/>
    </row>
    <row r="707" spans="2:4" ht="16.5" customHeight="1">
      <c r="B707" s="201"/>
      <c r="C707" s="18"/>
      <c r="D707" s="6"/>
    </row>
    <row r="708" spans="2:4" ht="16.5" customHeight="1">
      <c r="B708" s="201"/>
      <c r="C708" s="18"/>
      <c r="D708" s="6"/>
    </row>
    <row r="709" spans="2:4" ht="16.5" customHeight="1">
      <c r="B709" s="201"/>
      <c r="C709" s="18"/>
      <c r="D709" s="6"/>
    </row>
    <row r="710" spans="2:4" ht="16.5" customHeight="1">
      <c r="B710" s="201"/>
      <c r="C710" s="18"/>
      <c r="D710" s="6"/>
    </row>
    <row r="711" spans="2:4" ht="16.5" customHeight="1">
      <c r="B711" s="201"/>
      <c r="C711" s="18"/>
      <c r="D711" s="6"/>
    </row>
    <row r="712" spans="2:4" ht="16.5" customHeight="1">
      <c r="B712" s="201"/>
      <c r="C712" s="18"/>
      <c r="D712" s="6"/>
    </row>
    <row r="713" spans="2:4" ht="16.5" customHeight="1">
      <c r="B713" s="201"/>
      <c r="C713" s="18"/>
      <c r="D713" s="6"/>
    </row>
    <row r="714" spans="2:4" ht="16.5" customHeight="1">
      <c r="B714" s="201"/>
      <c r="C714" s="18"/>
      <c r="D714" s="6"/>
    </row>
    <row r="715" spans="2:4" ht="16.5" customHeight="1">
      <c r="B715" s="201"/>
      <c r="C715" s="18"/>
      <c r="D715" s="6"/>
    </row>
    <row r="716" spans="2:4" ht="16.5" customHeight="1">
      <c r="B716" s="201"/>
      <c r="C716" s="18"/>
      <c r="D716" s="6"/>
    </row>
    <row r="717" spans="2:4" ht="16.5" customHeight="1">
      <c r="B717" s="201"/>
      <c r="C717" s="18"/>
      <c r="D717" s="6"/>
    </row>
    <row r="718" spans="2:4" ht="16.5" customHeight="1">
      <c r="B718" s="201"/>
      <c r="C718" s="18"/>
      <c r="D718" s="6"/>
    </row>
    <row r="719" spans="2:4" ht="16.5" customHeight="1">
      <c r="B719" s="201"/>
      <c r="C719" s="18"/>
      <c r="D719" s="6"/>
    </row>
    <row r="720" spans="2:4" ht="16.5" customHeight="1">
      <c r="B720" s="201"/>
      <c r="C720" s="18"/>
      <c r="D720" s="6"/>
    </row>
    <row r="721" spans="2:4" ht="16.5" customHeight="1">
      <c r="B721" s="201"/>
      <c r="C721" s="18"/>
      <c r="D721" s="6"/>
    </row>
    <row r="722" spans="2:4" ht="16.5" customHeight="1">
      <c r="B722" s="201"/>
      <c r="C722" s="18"/>
      <c r="D722" s="6"/>
    </row>
    <row r="723" spans="2:4" ht="16.5" customHeight="1">
      <c r="B723" s="201"/>
      <c r="C723" s="18"/>
      <c r="D723" s="6"/>
    </row>
    <row r="724" spans="2:4" ht="16.5" customHeight="1">
      <c r="B724" s="201"/>
      <c r="C724" s="18"/>
      <c r="D724" s="6"/>
    </row>
    <row r="725" spans="2:4" ht="16.5" customHeight="1">
      <c r="B725" s="201"/>
      <c r="C725" s="18"/>
      <c r="D725" s="6"/>
    </row>
    <row r="726" spans="2:4" ht="16.5" customHeight="1">
      <c r="B726" s="201"/>
      <c r="C726" s="18"/>
      <c r="D726" s="6"/>
    </row>
    <row r="727" spans="2:4" ht="16.5" customHeight="1">
      <c r="B727" s="201"/>
      <c r="C727" s="18"/>
      <c r="D727" s="6"/>
    </row>
    <row r="728" spans="2:4" ht="16.5" customHeight="1">
      <c r="B728" s="201"/>
      <c r="C728" s="18"/>
      <c r="D728" s="6"/>
    </row>
    <row r="729" spans="2:4" ht="16.5" customHeight="1">
      <c r="B729" s="201"/>
      <c r="C729" s="18"/>
      <c r="D729" s="6"/>
    </row>
    <row r="730" spans="2:4" ht="16.5" customHeight="1">
      <c r="B730" s="201"/>
      <c r="C730" s="18"/>
      <c r="D730" s="6"/>
    </row>
    <row r="731" spans="2:4" ht="16.5" customHeight="1">
      <c r="B731" s="201"/>
      <c r="C731" s="18"/>
      <c r="D731" s="6"/>
    </row>
    <row r="732" spans="2:4" ht="16.5" customHeight="1">
      <c r="B732" s="201"/>
      <c r="C732" s="18"/>
      <c r="D732" s="6"/>
    </row>
    <row r="733" spans="2:4" ht="16.5" customHeight="1">
      <c r="B733" s="201"/>
      <c r="C733" s="18"/>
      <c r="D733" s="6"/>
    </row>
    <row r="734" spans="2:4" ht="16.5" customHeight="1">
      <c r="B734" s="201"/>
      <c r="C734" s="18"/>
      <c r="D734" s="6"/>
    </row>
    <row r="735" spans="2:4" ht="16.5" customHeight="1">
      <c r="B735" s="201"/>
      <c r="C735" s="18"/>
      <c r="D735" s="6"/>
    </row>
    <row r="736" spans="2:4" ht="16.5" customHeight="1">
      <c r="B736" s="201"/>
      <c r="C736" s="18"/>
      <c r="D736" s="6"/>
    </row>
    <row r="737" spans="2:4" ht="16.5" customHeight="1">
      <c r="B737" s="201"/>
      <c r="C737" s="18"/>
      <c r="D737" s="6"/>
    </row>
    <row r="738" spans="2:4" ht="16.5" customHeight="1">
      <c r="B738" s="201"/>
      <c r="C738" s="18"/>
      <c r="D738" s="6"/>
    </row>
    <row r="739" spans="2:4" ht="16.5" customHeight="1">
      <c r="B739" s="201"/>
      <c r="C739" s="18"/>
      <c r="D739" s="6"/>
    </row>
    <row r="740" spans="2:4" ht="16.5" customHeight="1">
      <c r="B740" s="201"/>
      <c r="C740" s="18"/>
      <c r="D740" s="6"/>
    </row>
    <row r="741" spans="2:4" ht="16.5" customHeight="1">
      <c r="B741" s="201"/>
      <c r="C741" s="18"/>
      <c r="D741" s="6"/>
    </row>
    <row r="742" spans="2:4" ht="16.5" customHeight="1">
      <c r="B742" s="201"/>
      <c r="C742" s="18"/>
      <c r="D742" s="6"/>
    </row>
    <row r="743" spans="2:4" ht="16.5" customHeight="1">
      <c r="B743" s="201"/>
      <c r="C743" s="18"/>
      <c r="D743" s="6"/>
    </row>
    <row r="744" spans="2:4" ht="16.5" customHeight="1">
      <c r="B744" s="201"/>
      <c r="C744" s="18"/>
      <c r="D744" s="6"/>
    </row>
    <row r="745" spans="2:4" ht="16.5" customHeight="1">
      <c r="B745" s="201"/>
      <c r="C745" s="18"/>
      <c r="D745" s="6"/>
    </row>
    <row r="746" spans="2:4" ht="16.5" customHeight="1">
      <c r="B746" s="201"/>
      <c r="C746" s="18"/>
      <c r="D746" s="6"/>
    </row>
    <row r="747" spans="2:4" ht="16.5" customHeight="1">
      <c r="B747" s="201"/>
      <c r="C747" s="18"/>
      <c r="D747" s="6"/>
    </row>
    <row r="748" spans="2:4" ht="16.5" customHeight="1">
      <c r="B748" s="201"/>
      <c r="C748" s="18"/>
      <c r="D748" s="6"/>
    </row>
    <row r="749" spans="2:4" ht="16.5" customHeight="1">
      <c r="B749" s="201"/>
      <c r="C749" s="18"/>
      <c r="D749" s="6"/>
    </row>
    <row r="750" spans="2:4" ht="16.5" customHeight="1">
      <c r="B750" s="201"/>
      <c r="C750" s="18"/>
      <c r="D750" s="6"/>
    </row>
    <row r="751" spans="2:4" ht="16.5" customHeight="1">
      <c r="B751" s="201"/>
      <c r="C751" s="18"/>
      <c r="D751" s="6"/>
    </row>
    <row r="752" spans="2:4" ht="16.5" customHeight="1">
      <c r="B752" s="201"/>
      <c r="C752" s="18"/>
      <c r="D752" s="6"/>
    </row>
    <row r="753" spans="2:4" ht="16.5" customHeight="1">
      <c r="B753" s="201"/>
      <c r="C753" s="18"/>
      <c r="D753" s="6"/>
    </row>
    <row r="754" spans="2:4" ht="16.5" customHeight="1">
      <c r="B754" s="201"/>
      <c r="C754" s="18"/>
      <c r="D754" s="6"/>
    </row>
    <row r="755" spans="2:4" ht="16.5" customHeight="1">
      <c r="B755" s="201"/>
      <c r="C755" s="18"/>
      <c r="D755" s="6"/>
    </row>
    <row r="756" spans="2:4" ht="16.5" customHeight="1">
      <c r="B756" s="201"/>
      <c r="C756" s="18"/>
      <c r="D756" s="6"/>
    </row>
    <row r="757" spans="2:4" ht="16.5" customHeight="1">
      <c r="B757" s="201"/>
      <c r="C757" s="18"/>
      <c r="D757" s="6"/>
    </row>
    <row r="758" spans="2:4" ht="16.5" customHeight="1">
      <c r="B758" s="201"/>
      <c r="C758" s="18"/>
      <c r="D758" s="6"/>
    </row>
    <row r="759" spans="2:4" ht="16.5" customHeight="1">
      <c r="B759" s="201"/>
      <c r="C759" s="18"/>
      <c r="D759" s="6"/>
    </row>
    <row r="760" spans="2:4" ht="16.5" customHeight="1">
      <c r="B760" s="201"/>
      <c r="C760" s="18"/>
      <c r="D760" s="6"/>
    </row>
    <row r="761" spans="2:4" ht="16.5" customHeight="1">
      <c r="B761" s="201"/>
      <c r="C761" s="18"/>
      <c r="D761" s="6"/>
    </row>
    <row r="762" spans="2:4" ht="16.5" customHeight="1">
      <c r="B762" s="201"/>
      <c r="C762" s="18"/>
      <c r="D762" s="6"/>
    </row>
    <row r="763" spans="2:4" ht="16.5" customHeight="1">
      <c r="B763" s="201"/>
      <c r="C763" s="18"/>
      <c r="D763" s="6"/>
    </row>
    <row r="764" spans="2:4" ht="16.5" customHeight="1">
      <c r="B764" s="201"/>
      <c r="C764" s="18"/>
      <c r="D764" s="6"/>
    </row>
    <row r="765" spans="2:4" ht="16.5" customHeight="1">
      <c r="B765" s="201"/>
      <c r="C765" s="18"/>
      <c r="D765" s="6"/>
    </row>
    <row r="766" spans="2:4" ht="16.5" customHeight="1">
      <c r="B766" s="201"/>
      <c r="C766" s="18"/>
      <c r="D766" s="6"/>
    </row>
    <row r="767" spans="2:4" ht="16.5" customHeight="1">
      <c r="B767" s="201"/>
      <c r="C767" s="18"/>
      <c r="D767" s="6"/>
    </row>
    <row r="768" spans="2:4" ht="16.5" customHeight="1">
      <c r="B768" s="201"/>
      <c r="C768" s="18"/>
      <c r="D768" s="6"/>
    </row>
    <row r="769" spans="2:4" ht="16.5" customHeight="1">
      <c r="B769" s="201"/>
      <c r="C769" s="18"/>
      <c r="D769" s="6"/>
    </row>
    <row r="770" spans="2:4" ht="16.5" customHeight="1">
      <c r="B770" s="201"/>
      <c r="C770" s="18"/>
      <c r="D770" s="6"/>
    </row>
    <row r="771" spans="2:4" ht="16.5" customHeight="1">
      <c r="B771" s="201"/>
      <c r="C771" s="18"/>
      <c r="D771" s="6"/>
    </row>
    <row r="772" spans="2:4" ht="16.5" customHeight="1">
      <c r="B772" s="201"/>
      <c r="C772" s="18"/>
      <c r="D772" s="6"/>
    </row>
    <row r="773" spans="2:4" ht="16.5" customHeight="1">
      <c r="B773" s="201"/>
      <c r="C773" s="18"/>
      <c r="D773" s="6"/>
    </row>
    <row r="774" spans="2:4" ht="16.5" customHeight="1">
      <c r="B774" s="201"/>
      <c r="C774" s="18"/>
      <c r="D774" s="6"/>
    </row>
    <row r="775" spans="2:4" ht="16.5" customHeight="1">
      <c r="B775" s="201"/>
      <c r="C775" s="18"/>
      <c r="D775" s="6"/>
    </row>
    <row r="776" spans="2:4" ht="16.5" customHeight="1">
      <c r="B776" s="201"/>
      <c r="C776" s="18"/>
      <c r="D776" s="6"/>
    </row>
    <row r="777" spans="2:4" ht="16.5" customHeight="1">
      <c r="B777" s="201"/>
      <c r="C777" s="18"/>
      <c r="D777" s="6"/>
    </row>
    <row r="778" spans="2:4" ht="16.5" customHeight="1">
      <c r="B778" s="201"/>
      <c r="C778" s="18"/>
      <c r="D778" s="6"/>
    </row>
    <row r="779" spans="2:4" ht="16.5" customHeight="1">
      <c r="B779" s="201"/>
      <c r="C779" s="18"/>
      <c r="D779" s="6"/>
    </row>
    <row r="780" spans="2:4" ht="16.5" customHeight="1">
      <c r="B780" s="201"/>
      <c r="C780" s="18"/>
      <c r="D780" s="6"/>
    </row>
    <row r="781" spans="2:4" ht="16.5" customHeight="1">
      <c r="B781" s="201"/>
      <c r="C781" s="18"/>
      <c r="D781" s="6"/>
    </row>
    <row r="782" spans="2:4" ht="16.5" customHeight="1">
      <c r="B782" s="201"/>
      <c r="C782" s="18"/>
      <c r="D782" s="6"/>
    </row>
    <row r="783" spans="2:4" ht="16.5" customHeight="1">
      <c r="B783" s="201"/>
      <c r="C783" s="18"/>
      <c r="D783" s="6"/>
    </row>
    <row r="784" spans="2:4" ht="16.5" customHeight="1">
      <c r="B784" s="201"/>
      <c r="C784" s="18"/>
      <c r="D784" s="6"/>
    </row>
    <row r="785" spans="2:4" ht="16.5" customHeight="1">
      <c r="B785" s="201"/>
      <c r="C785" s="18"/>
      <c r="D785" s="6"/>
    </row>
    <row r="786" spans="2:4" ht="16.5" customHeight="1">
      <c r="B786" s="201"/>
      <c r="C786" s="18"/>
      <c r="D786" s="6"/>
    </row>
    <row r="787" spans="2:4" ht="16.5" customHeight="1">
      <c r="B787" s="201"/>
      <c r="C787" s="18"/>
      <c r="D787" s="6"/>
    </row>
    <row r="788" spans="2:4" ht="16.5" customHeight="1">
      <c r="B788" s="201"/>
      <c r="C788" s="18"/>
      <c r="D788" s="6"/>
    </row>
    <row r="789" spans="2:4" ht="16.5" customHeight="1">
      <c r="B789" s="201"/>
      <c r="C789" s="18"/>
      <c r="D789" s="6"/>
    </row>
    <row r="790" spans="2:4" ht="16.5" customHeight="1">
      <c r="B790" s="201"/>
      <c r="C790" s="18"/>
      <c r="D790" s="6"/>
    </row>
    <row r="791" spans="2:4" ht="16.5" customHeight="1">
      <c r="B791" s="201"/>
      <c r="C791" s="18"/>
      <c r="D791" s="6"/>
    </row>
    <row r="792" spans="2:4" ht="16.5" customHeight="1">
      <c r="B792" s="201"/>
      <c r="C792" s="18"/>
      <c r="D792" s="6"/>
    </row>
    <row r="793" spans="2:4" ht="16.5" customHeight="1">
      <c r="B793" s="201"/>
      <c r="C793" s="18"/>
      <c r="D793" s="6"/>
    </row>
    <row r="794" spans="2:4" ht="16.5" customHeight="1">
      <c r="B794" s="201"/>
      <c r="C794" s="18"/>
      <c r="D794" s="6"/>
    </row>
    <row r="795" spans="2:4" ht="16.5" customHeight="1">
      <c r="B795" s="201"/>
      <c r="C795" s="18"/>
      <c r="D795" s="6"/>
    </row>
    <row r="796" spans="2:4" ht="16.5" customHeight="1">
      <c r="B796" s="201"/>
      <c r="C796" s="18"/>
      <c r="D796" s="6"/>
    </row>
    <row r="797" spans="2:4" ht="16.5" customHeight="1">
      <c r="B797" s="201"/>
      <c r="C797" s="18"/>
      <c r="D797" s="6"/>
    </row>
    <row r="798" spans="2:4" ht="16.5" customHeight="1">
      <c r="B798" s="201"/>
      <c r="C798" s="18"/>
      <c r="D798" s="6"/>
    </row>
    <row r="799" spans="2:4" ht="16.5" customHeight="1">
      <c r="B799" s="201"/>
      <c r="C799" s="18"/>
      <c r="D799" s="6"/>
    </row>
    <row r="800" spans="2:4" ht="16.5" customHeight="1">
      <c r="B800" s="201"/>
      <c r="C800" s="18"/>
      <c r="D800" s="6"/>
    </row>
    <row r="801" spans="2:4" ht="16.5" customHeight="1">
      <c r="B801" s="201"/>
      <c r="C801" s="18"/>
      <c r="D801" s="6"/>
    </row>
    <row r="802" spans="2:4" ht="16.5" customHeight="1">
      <c r="B802" s="201"/>
      <c r="C802" s="18"/>
      <c r="D802" s="6"/>
    </row>
    <row r="803" spans="2:4" ht="16.5" customHeight="1">
      <c r="B803" s="201"/>
      <c r="C803" s="18"/>
      <c r="D803" s="6"/>
    </row>
    <row r="804" spans="2:4" ht="16.5" customHeight="1">
      <c r="B804" s="201"/>
      <c r="C804" s="18"/>
      <c r="D804" s="6"/>
    </row>
    <row r="805" spans="2:4" ht="16.5" customHeight="1">
      <c r="B805" s="201"/>
      <c r="C805" s="18"/>
      <c r="D805" s="6"/>
    </row>
    <row r="806" spans="2:4" ht="16.5" customHeight="1">
      <c r="B806" s="201"/>
      <c r="C806" s="18"/>
      <c r="D806" s="6"/>
    </row>
    <row r="807" spans="2:4" ht="16.5" customHeight="1">
      <c r="B807" s="201"/>
      <c r="C807" s="18"/>
      <c r="D807" s="6"/>
    </row>
    <row r="808" spans="2:4" ht="16.5" customHeight="1">
      <c r="B808" s="201"/>
      <c r="C808" s="18"/>
      <c r="D808" s="6"/>
    </row>
    <row r="809" spans="2:4" ht="16.5" customHeight="1">
      <c r="B809" s="201"/>
      <c r="C809" s="18"/>
      <c r="D809" s="6"/>
    </row>
    <row r="810" spans="2:4" ht="16.5" customHeight="1">
      <c r="B810" s="201"/>
      <c r="C810" s="18"/>
      <c r="D810" s="6"/>
    </row>
    <row r="811" spans="2:4" ht="16.5" customHeight="1">
      <c r="B811" s="201"/>
      <c r="C811" s="18"/>
      <c r="D811" s="6"/>
    </row>
    <row r="812" spans="2:4" ht="16.5" customHeight="1">
      <c r="B812" s="201"/>
      <c r="C812" s="18"/>
      <c r="D812" s="6"/>
    </row>
    <row r="813" spans="2:4" ht="16.5" customHeight="1">
      <c r="B813" s="201"/>
      <c r="C813" s="18"/>
      <c r="D813" s="6"/>
    </row>
    <row r="814" spans="2:4" ht="16.5" customHeight="1">
      <c r="B814" s="201"/>
      <c r="C814" s="18"/>
      <c r="D814" s="6"/>
    </row>
    <row r="815" spans="2:4" ht="16.5" customHeight="1">
      <c r="B815" s="201"/>
      <c r="C815" s="18"/>
      <c r="D815" s="6"/>
    </row>
    <row r="816" spans="2:4" ht="16.5" customHeight="1">
      <c r="B816" s="201"/>
      <c r="C816" s="18"/>
      <c r="D816" s="6"/>
    </row>
    <row r="817" spans="2:4" ht="16.5" customHeight="1">
      <c r="B817" s="201"/>
      <c r="C817" s="18"/>
      <c r="D817" s="6"/>
    </row>
    <row r="818" spans="2:4" ht="16.5" customHeight="1">
      <c r="B818" s="201"/>
      <c r="C818" s="18"/>
      <c r="D818" s="6"/>
    </row>
    <row r="819" spans="2:4" ht="16.5" customHeight="1">
      <c r="B819" s="201"/>
      <c r="C819" s="18"/>
      <c r="D819" s="6"/>
    </row>
    <row r="820" spans="2:4" ht="16.5" customHeight="1">
      <c r="B820" s="201"/>
      <c r="C820" s="18"/>
      <c r="D820" s="6"/>
    </row>
    <row r="821" spans="2:4" ht="16.5" customHeight="1">
      <c r="B821" s="201"/>
      <c r="C821" s="18"/>
      <c r="D821" s="6"/>
    </row>
    <row r="822" spans="2:4" ht="16.5" customHeight="1">
      <c r="B822" s="201"/>
      <c r="C822" s="18"/>
      <c r="D822" s="6"/>
    </row>
    <row r="823" spans="2:4" ht="16.5" customHeight="1">
      <c r="B823" s="201"/>
      <c r="C823" s="18"/>
      <c r="D823" s="6"/>
    </row>
    <row r="824" spans="2:4" ht="16.5" customHeight="1">
      <c r="B824" s="201"/>
      <c r="C824" s="18"/>
      <c r="D824" s="6"/>
    </row>
    <row r="825" spans="2:4" ht="16.5" customHeight="1">
      <c r="B825" s="201"/>
      <c r="C825" s="18"/>
      <c r="D825" s="6"/>
    </row>
    <row r="826" spans="2:4" ht="16.5" customHeight="1">
      <c r="B826" s="201"/>
      <c r="C826" s="18"/>
      <c r="D826" s="6"/>
    </row>
    <row r="827" spans="2:4" ht="16.5" customHeight="1">
      <c r="B827" s="201"/>
      <c r="C827" s="18"/>
      <c r="D827" s="6"/>
    </row>
    <row r="828" spans="2:4" ht="16.5" customHeight="1">
      <c r="B828" s="201"/>
      <c r="C828" s="18"/>
      <c r="D828" s="6"/>
    </row>
    <row r="829" spans="2:4" ht="16.5" customHeight="1">
      <c r="B829" s="201"/>
      <c r="C829" s="18"/>
      <c r="D829" s="6"/>
    </row>
    <row r="830" spans="2:4" ht="16.5" customHeight="1">
      <c r="B830" s="201"/>
      <c r="C830" s="18"/>
      <c r="D830" s="6"/>
    </row>
    <row r="831" spans="2:4" ht="16.5" customHeight="1">
      <c r="B831" s="201"/>
      <c r="C831" s="18"/>
      <c r="D831" s="6"/>
    </row>
    <row r="832" spans="2:4" ht="16.5" customHeight="1">
      <c r="B832" s="201"/>
      <c r="C832" s="18"/>
      <c r="D832" s="6"/>
    </row>
    <row r="833" spans="2:4" ht="16.5" customHeight="1">
      <c r="B833" s="201"/>
      <c r="C833" s="18"/>
      <c r="D833" s="6"/>
    </row>
    <row r="834" spans="2:4" ht="16.5" customHeight="1">
      <c r="B834" s="201"/>
      <c r="C834" s="18"/>
      <c r="D834" s="6"/>
    </row>
    <row r="835" spans="2:4" ht="16.5" customHeight="1">
      <c r="B835" s="201"/>
      <c r="C835" s="18"/>
      <c r="D835" s="6"/>
    </row>
    <row r="836" spans="2:4" ht="16.5" customHeight="1">
      <c r="B836" s="201"/>
      <c r="C836" s="18"/>
      <c r="D836" s="6"/>
    </row>
    <row r="837" spans="2:4" ht="16.5" customHeight="1">
      <c r="B837" s="201"/>
      <c r="C837" s="18"/>
      <c r="D837" s="6"/>
    </row>
    <row r="838" spans="2:4" ht="16.5" customHeight="1">
      <c r="B838" s="201"/>
      <c r="C838" s="18"/>
      <c r="D838" s="6"/>
    </row>
    <row r="839" spans="2:4" ht="16.5" customHeight="1">
      <c r="B839" s="201"/>
      <c r="C839" s="18"/>
      <c r="D839" s="6"/>
    </row>
    <row r="840" spans="2:4" ht="16.5" customHeight="1">
      <c r="B840" s="201"/>
      <c r="C840" s="18"/>
      <c r="D840" s="6"/>
    </row>
  </sheetData>
  <sheetProtection/>
  <mergeCells count="7">
    <mergeCell ref="A3:D3"/>
    <mergeCell ref="A53:D53"/>
    <mergeCell ref="A54:D54"/>
    <mergeCell ref="A1:D1"/>
    <mergeCell ref="A2:D2"/>
    <mergeCell ref="A41:D41"/>
    <mergeCell ref="A42:D42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25">
      <selection activeCell="A8" sqref="A8:E8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7" t="s">
        <v>67</v>
      </c>
      <c r="B2" s="307"/>
      <c r="C2" s="307"/>
      <c r="D2" s="307"/>
      <c r="E2" s="307"/>
      <c r="F2" s="307"/>
      <c r="G2" s="313" t="s">
        <v>504</v>
      </c>
      <c r="H2" s="307"/>
      <c r="I2" s="307"/>
      <c r="J2" s="307"/>
    </row>
    <row r="3" spans="1:10" ht="23.25">
      <c r="A3" s="307" t="s">
        <v>69</v>
      </c>
      <c r="B3" s="307"/>
      <c r="C3" s="307"/>
      <c r="D3" s="307"/>
      <c r="E3" s="307"/>
      <c r="F3" s="307"/>
      <c r="G3" s="313" t="s">
        <v>505</v>
      </c>
      <c r="H3" s="307"/>
      <c r="I3" s="307"/>
      <c r="J3" s="307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5" t="s">
        <v>488</v>
      </c>
      <c r="B5" s="315"/>
      <c r="C5" s="315"/>
      <c r="D5" s="315"/>
      <c r="E5" s="315"/>
      <c r="F5" s="316"/>
      <c r="G5" s="66"/>
      <c r="H5" s="66"/>
      <c r="I5" s="66"/>
      <c r="J5" s="67">
        <v>7788398.37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9" t="s">
        <v>507</v>
      </c>
      <c r="B8" s="319"/>
      <c r="C8" s="319"/>
      <c r="D8" s="319"/>
      <c r="E8" s="319"/>
      <c r="F8" s="69"/>
      <c r="G8" s="66"/>
      <c r="H8" s="66"/>
      <c r="I8" s="66"/>
      <c r="J8" s="67">
        <v>1049248</v>
      </c>
    </row>
    <row r="9" spans="1:10" ht="23.25">
      <c r="A9" s="97"/>
      <c r="B9" s="70"/>
      <c r="C9" s="97"/>
      <c r="D9" s="70"/>
      <c r="E9" s="70"/>
      <c r="F9" s="71"/>
      <c r="G9" s="66"/>
      <c r="H9" s="66"/>
      <c r="I9" s="66"/>
      <c r="J9" s="67"/>
    </row>
    <row r="10" spans="1:10" ht="23.25">
      <c r="A10" s="97"/>
      <c r="B10" s="70"/>
      <c r="C10" s="97"/>
      <c r="D10" s="70"/>
      <c r="E10" s="70"/>
      <c r="F10" s="72"/>
      <c r="G10" s="66"/>
      <c r="H10" s="66"/>
      <c r="I10" s="66"/>
      <c r="J10" s="73"/>
    </row>
    <row r="11" spans="1:10" ht="23.25">
      <c r="A11" s="97"/>
      <c r="B11" s="70"/>
      <c r="C11" s="97"/>
      <c r="D11" s="70"/>
      <c r="E11" s="70"/>
      <c r="F11" s="72"/>
      <c r="G11" s="66"/>
      <c r="H11" s="66"/>
      <c r="I11" s="66"/>
      <c r="J11" s="73"/>
    </row>
    <row r="12" spans="1:10" ht="23.25">
      <c r="A12" s="97"/>
      <c r="B12" s="70"/>
      <c r="C12" s="97"/>
      <c r="D12" s="70"/>
      <c r="E12" s="70"/>
      <c r="F12" s="72"/>
      <c r="G12" s="66"/>
      <c r="H12" s="66"/>
      <c r="I12" s="66"/>
      <c r="J12" s="67"/>
    </row>
    <row r="13" spans="1:10" ht="23.25">
      <c r="A13" s="97"/>
      <c r="B13" s="70"/>
      <c r="C13" s="97"/>
      <c r="D13" s="70"/>
      <c r="E13" s="70"/>
      <c r="F13" s="72"/>
      <c r="G13" s="66"/>
      <c r="H13" s="66"/>
      <c r="I13" s="66"/>
      <c r="J13" s="67"/>
    </row>
    <row r="14" spans="1:10" ht="23.25">
      <c r="A14" s="97"/>
      <c r="B14" s="70"/>
      <c r="C14" s="97"/>
      <c r="D14" s="70"/>
      <c r="E14" s="70"/>
      <c r="F14" s="72"/>
      <c r="G14" s="66"/>
      <c r="H14" s="66"/>
      <c r="I14" s="66"/>
      <c r="J14" s="67"/>
    </row>
    <row r="15" spans="1:10" ht="23.25">
      <c r="A15" s="97"/>
      <c r="B15" s="70"/>
      <c r="C15" s="97"/>
      <c r="D15" s="70"/>
      <c r="E15" s="70"/>
      <c r="F15" s="72"/>
      <c r="G15" s="66"/>
      <c r="H15" s="66"/>
      <c r="I15" s="66"/>
      <c r="J15" s="67"/>
    </row>
    <row r="16" spans="1:10" ht="23.25">
      <c r="A16" s="97"/>
      <c r="B16" s="70"/>
      <c r="C16" s="97"/>
      <c r="D16" s="70"/>
      <c r="E16" s="70"/>
      <c r="F16" s="72"/>
      <c r="G16" s="66"/>
      <c r="H16" s="66"/>
      <c r="I16" s="66"/>
      <c r="J16" s="67"/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6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70"/>
      <c r="B20" s="70"/>
      <c r="C20" s="97"/>
      <c r="D20" s="70"/>
      <c r="E20" s="70"/>
      <c r="F20" s="23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2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2"/>
      <c r="G22" s="66"/>
      <c r="H22" s="66"/>
      <c r="I22" s="66"/>
      <c r="J22" s="67"/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7" t="s">
        <v>503</v>
      </c>
      <c r="B26" s="317"/>
      <c r="C26" s="317"/>
      <c r="D26" s="317"/>
      <c r="E26" s="317"/>
      <c r="F26" s="318"/>
      <c r="G26" s="66"/>
      <c r="H26" s="66"/>
      <c r="I26" s="66"/>
      <c r="J26" s="67">
        <v>6739150.37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74</v>
      </c>
      <c r="B28" s="75"/>
      <c r="C28" s="98"/>
      <c r="D28" s="75"/>
      <c r="E28" s="75"/>
      <c r="F28" s="76"/>
      <c r="G28" s="314" t="s">
        <v>75</v>
      </c>
      <c r="H28" s="315"/>
      <c r="I28" s="315"/>
      <c r="J28" s="315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11" t="s">
        <v>501</v>
      </c>
      <c r="B30" s="311"/>
      <c r="C30" s="311"/>
      <c r="D30" s="311"/>
      <c r="E30" s="311"/>
      <c r="F30" s="312"/>
      <c r="G30" s="313" t="s">
        <v>502</v>
      </c>
      <c r="H30" s="307"/>
      <c r="I30" s="307"/>
      <c r="J30" s="307"/>
      <c r="K30" s="68"/>
    </row>
    <row r="31" spans="1:10" ht="23.25">
      <c r="A31" s="307" t="s">
        <v>98</v>
      </c>
      <c r="B31" s="307"/>
      <c r="C31" s="307"/>
      <c r="D31" s="307"/>
      <c r="E31" s="68"/>
      <c r="F31" s="72"/>
      <c r="G31" s="308" t="s">
        <v>93</v>
      </c>
      <c r="H31" s="309"/>
      <c r="I31" s="309"/>
      <c r="J31" s="309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A2:F2"/>
    <mergeCell ref="G2:J2"/>
    <mergeCell ref="A3:F3"/>
    <mergeCell ref="G3:J3"/>
    <mergeCell ref="A5:F5"/>
    <mergeCell ref="A8:E8"/>
    <mergeCell ref="A26:F26"/>
    <mergeCell ref="G28:J28"/>
    <mergeCell ref="A30:F30"/>
    <mergeCell ref="G30:J30"/>
    <mergeCell ref="A31:D31"/>
    <mergeCell ref="G31:J31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03">
      <selection activeCell="O84" sqref="O8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298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7" t="s">
        <v>506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="168" customFormat="1" ht="14.25">
      <c r="Q4" s="244"/>
    </row>
    <row r="5" spans="1:18" s="107" customFormat="1" ht="14.25">
      <c r="A5" s="108" t="s">
        <v>124</v>
      </c>
      <c r="B5" s="322" t="s">
        <v>100</v>
      </c>
      <c r="C5" s="325" t="s">
        <v>101</v>
      </c>
      <c r="D5" s="325"/>
      <c r="E5" s="325"/>
      <c r="F5" s="130" t="s">
        <v>102</v>
      </c>
      <c r="G5" s="325" t="s">
        <v>103</v>
      </c>
      <c r="H5" s="325"/>
      <c r="I5" s="325" t="s">
        <v>104</v>
      </c>
      <c r="J5" s="325"/>
      <c r="K5" s="130" t="s">
        <v>105</v>
      </c>
      <c r="L5" s="325" t="s">
        <v>106</v>
      </c>
      <c r="M5" s="325"/>
      <c r="N5" s="325" t="s">
        <v>107</v>
      </c>
      <c r="O5" s="325"/>
      <c r="P5" s="320" t="s">
        <v>122</v>
      </c>
      <c r="Q5" s="321"/>
      <c r="R5" s="323" t="s">
        <v>20</v>
      </c>
    </row>
    <row r="6" spans="1:18" s="107" customFormat="1" ht="14.25">
      <c r="A6" s="109" t="s">
        <v>125</v>
      </c>
      <c r="B6" s="322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350</v>
      </c>
      <c r="Q6" s="245" t="s">
        <v>123</v>
      </c>
      <c r="R6" s="324"/>
    </row>
    <row r="7" spans="1:18" ht="14.25">
      <c r="A7" s="131" t="s">
        <v>279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280</v>
      </c>
      <c r="B8" s="110">
        <v>5089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5089</v>
      </c>
    </row>
    <row r="9" spans="1:18" ht="14.25">
      <c r="A9" s="133" t="s">
        <v>281</v>
      </c>
      <c r="B9" s="113">
        <f>1500+500</f>
        <v>2000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2000</v>
      </c>
    </row>
    <row r="10" spans="1:18" ht="14.25">
      <c r="A10" s="133" t="s">
        <v>282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283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284</v>
      </c>
      <c r="B12" s="129">
        <v>141235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SUM(B12:Q12)</f>
        <v>141235</v>
      </c>
    </row>
    <row r="13" spans="1:18" ht="14.25">
      <c r="A13" s="133" t="s">
        <v>38</v>
      </c>
      <c r="B13" s="115">
        <f>SUM(B8:B12)</f>
        <v>148324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148324</v>
      </c>
    </row>
    <row r="14" spans="1:18" ht="15" thickBot="1">
      <c r="A14" s="134" t="s">
        <v>39</v>
      </c>
      <c r="B14" s="116">
        <f>SUM(B13)</f>
        <v>148324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3"/>
      <c r="R14" s="116">
        <f>SUM(B14:P14)</f>
        <v>148324</v>
      </c>
    </row>
    <row r="15" spans="1:18" ht="15" thickTop="1">
      <c r="A15" s="135" t="s">
        <v>285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286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287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288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289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290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291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SUM(C22)</f>
        <v>243060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243060</v>
      </c>
    </row>
    <row r="24" spans="1:18" ht="15" thickTop="1">
      <c r="A24" s="132" t="s">
        <v>292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293</v>
      </c>
      <c r="B25" s="119"/>
      <c r="C25" s="119">
        <v>156780</v>
      </c>
      <c r="D25" s="119"/>
      <c r="E25" s="119">
        <v>100270</v>
      </c>
      <c r="F25" s="119"/>
      <c r="G25" s="119">
        <v>20360</v>
      </c>
      <c r="H25" s="119"/>
      <c r="I25" s="119"/>
      <c r="J25" s="119"/>
      <c r="K25" s="119"/>
      <c r="L25" s="119">
        <v>40470</v>
      </c>
      <c r="M25" s="119"/>
      <c r="N25" s="119"/>
      <c r="O25" s="113"/>
      <c r="P25" s="119"/>
      <c r="Q25" s="119"/>
      <c r="R25" s="113">
        <f>SUM(C25:P25)</f>
        <v>317880</v>
      </c>
    </row>
    <row r="26" spans="1:18" ht="14.25">
      <c r="A26" s="133" t="s">
        <v>294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295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/>
    </row>
    <row r="28" spans="1:18" ht="14.25">
      <c r="A28" s="133" t="s">
        <v>38</v>
      </c>
      <c r="B28" s="103"/>
      <c r="C28" s="122">
        <f>SUM(C25:C27)</f>
        <v>171480</v>
      </c>
      <c r="D28" s="103">
        <v>0</v>
      </c>
      <c r="E28" s="103">
        <f>SUM(E25:E27)</f>
        <v>103770</v>
      </c>
      <c r="F28" s="103">
        <v>0</v>
      </c>
      <c r="G28" s="103">
        <f>SUM(G25:G27)</f>
        <v>20360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43970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339580</v>
      </c>
    </row>
    <row r="29" spans="1:18" ht="15" thickBot="1">
      <c r="A29" s="134" t="s">
        <v>39</v>
      </c>
      <c r="B29" s="136"/>
      <c r="C29" s="123">
        <f>SUM(C28)</f>
        <v>171480</v>
      </c>
      <c r="D29" s="136">
        <v>0</v>
      </c>
      <c r="E29" s="136">
        <f>SUM(E28)</f>
        <v>103770</v>
      </c>
      <c r="F29" s="136">
        <v>0</v>
      </c>
      <c r="G29" s="136">
        <f>SUM(G28)</f>
        <v>20360</v>
      </c>
      <c r="H29" s="136">
        <v>0</v>
      </c>
      <c r="I29" s="136">
        <v>0</v>
      </c>
      <c r="J29" s="136">
        <v>0</v>
      </c>
      <c r="K29" s="136">
        <v>0</v>
      </c>
      <c r="L29" s="136">
        <f>SUM(L28)</f>
        <v>43970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339580</v>
      </c>
    </row>
    <row r="30" spans="1:18" ht="15" thickTop="1">
      <c r="A30" s="132" t="s">
        <v>292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296</v>
      </c>
      <c r="B31" s="119"/>
      <c r="C31" s="119">
        <v>10760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10760</v>
      </c>
    </row>
    <row r="32" spans="1:18" ht="14.25">
      <c r="A32" s="132" t="s">
        <v>297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12260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12260</v>
      </c>
    </row>
    <row r="34" spans="1:18" ht="15" thickBot="1">
      <c r="A34" s="134" t="s">
        <v>39</v>
      </c>
      <c r="B34" s="136"/>
      <c r="C34" s="116">
        <f>SUM(C33)</f>
        <v>12260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12260</v>
      </c>
    </row>
    <row r="35" ht="15" thickTop="1">
      <c r="C35" s="233"/>
    </row>
    <row r="41" spans="1:18" s="107" customFormat="1" ht="14.25">
      <c r="A41" s="108" t="s">
        <v>124</v>
      </c>
      <c r="B41" s="322" t="s">
        <v>100</v>
      </c>
      <c r="C41" s="325" t="s">
        <v>101</v>
      </c>
      <c r="D41" s="325"/>
      <c r="E41" s="325"/>
      <c r="F41" s="130" t="s">
        <v>102</v>
      </c>
      <c r="G41" s="325" t="s">
        <v>103</v>
      </c>
      <c r="H41" s="325"/>
      <c r="I41" s="325" t="s">
        <v>104</v>
      </c>
      <c r="J41" s="325"/>
      <c r="K41" s="130" t="s">
        <v>105</v>
      </c>
      <c r="L41" s="325" t="s">
        <v>106</v>
      </c>
      <c r="M41" s="325"/>
      <c r="N41" s="325" t="s">
        <v>107</v>
      </c>
      <c r="O41" s="325"/>
      <c r="P41" s="320" t="s">
        <v>122</v>
      </c>
      <c r="Q41" s="321"/>
      <c r="R41" s="323" t="s">
        <v>20</v>
      </c>
    </row>
    <row r="42" spans="1:18" s="107" customFormat="1" ht="14.25">
      <c r="A42" s="109" t="s">
        <v>125</v>
      </c>
      <c r="B42" s="322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350</v>
      </c>
      <c r="Q42" s="245" t="s">
        <v>123</v>
      </c>
      <c r="R42" s="324"/>
    </row>
    <row r="43" spans="1:18" ht="14.25">
      <c r="A43" s="135" t="s">
        <v>292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299</v>
      </c>
      <c r="B44" s="113"/>
      <c r="C44" s="113">
        <v>19500</v>
      </c>
      <c r="D44" s="113"/>
      <c r="E44" s="113">
        <v>20330</v>
      </c>
      <c r="F44" s="113"/>
      <c r="G44" s="113">
        <v>32200</v>
      </c>
      <c r="H44" s="113"/>
      <c r="I44" s="113">
        <v>9000</v>
      </c>
      <c r="J44" s="113"/>
      <c r="K44" s="113"/>
      <c r="L44" s="113">
        <v>18400</v>
      </c>
      <c r="M44" s="113"/>
      <c r="N44" s="113"/>
      <c r="O44" s="113"/>
      <c r="P44" s="113"/>
      <c r="Q44" s="113"/>
      <c r="R44" s="113">
        <f>SUM(C44:P44)</f>
        <v>99430</v>
      </c>
    </row>
    <row r="45" spans="1:18" ht="14.25">
      <c r="A45" s="137" t="s">
        <v>300</v>
      </c>
      <c r="B45" s="110"/>
      <c r="C45" s="110">
        <v>1500</v>
      </c>
      <c r="D45" s="110"/>
      <c r="E45" s="110">
        <v>955</v>
      </c>
      <c r="F45" s="110"/>
      <c r="G45" s="110"/>
      <c r="H45" s="110"/>
      <c r="I45" s="110"/>
      <c r="J45" s="110"/>
      <c r="K45" s="110"/>
      <c r="L45" s="110">
        <v>1500</v>
      </c>
      <c r="M45" s="110"/>
      <c r="N45" s="110"/>
      <c r="O45" s="110"/>
      <c r="P45" s="110"/>
      <c r="Q45" s="110"/>
      <c r="R45" s="110">
        <f>SUM(C45:P45)</f>
        <v>3955</v>
      </c>
    </row>
    <row r="46" spans="1:18" ht="14.25">
      <c r="A46" s="133" t="s">
        <v>38</v>
      </c>
      <c r="B46" s="103"/>
      <c r="C46" s="115">
        <f>SUM(C44:C45)</f>
        <v>21000</v>
      </c>
      <c r="D46" s="103">
        <v>0</v>
      </c>
      <c r="E46" s="103">
        <f>SUM(E43:E45)</f>
        <v>21285</v>
      </c>
      <c r="F46" s="103">
        <v>0</v>
      </c>
      <c r="G46" s="103">
        <f>SUM(G44:G45)</f>
        <v>32200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19900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103385</v>
      </c>
    </row>
    <row r="47" spans="1:18" ht="15" thickBot="1">
      <c r="A47" s="134" t="s">
        <v>39</v>
      </c>
      <c r="B47" s="136"/>
      <c r="C47" s="116">
        <f>SUM(C46)</f>
        <v>21000</v>
      </c>
      <c r="D47" s="103">
        <v>0</v>
      </c>
      <c r="E47" s="103">
        <f>SUM(E46)</f>
        <v>21285</v>
      </c>
      <c r="F47" s="103">
        <v>0</v>
      </c>
      <c r="G47" s="103">
        <f>SUM(G46)</f>
        <v>32200</v>
      </c>
      <c r="H47" s="103">
        <v>0</v>
      </c>
      <c r="I47" s="103">
        <f>SUM(I46)</f>
        <v>9000</v>
      </c>
      <c r="J47" s="103">
        <v>0</v>
      </c>
      <c r="K47" s="103">
        <v>0</v>
      </c>
      <c r="L47" s="103">
        <f>SUM(L46)</f>
        <v>19900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103385</v>
      </c>
    </row>
    <row r="48" spans="1:18" ht="15" thickTop="1">
      <c r="A48" s="135" t="s">
        <v>301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302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303</v>
      </c>
      <c r="B50" s="120"/>
      <c r="C50" s="120">
        <v>0</v>
      </c>
      <c r="D50" s="120"/>
      <c r="E50" s="120">
        <v>8820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8820</v>
      </c>
    </row>
    <row r="51" spans="1:18" ht="14.25">
      <c r="A51" s="133" t="s">
        <v>304</v>
      </c>
      <c r="B51" s="119"/>
      <c r="C51" s="119">
        <v>6500</v>
      </c>
      <c r="D51" s="119"/>
      <c r="E51" s="119">
        <f>1700+2500</f>
        <v>4200</v>
      </c>
      <c r="F51" s="119"/>
      <c r="G51" s="119">
        <v>2400</v>
      </c>
      <c r="H51" s="119"/>
      <c r="I51" s="119"/>
      <c r="J51" s="119"/>
      <c r="K51" s="119"/>
      <c r="L51" s="119">
        <v>5400</v>
      </c>
      <c r="M51" s="119"/>
      <c r="N51" s="119"/>
      <c r="O51" s="113"/>
      <c r="P51" s="119"/>
      <c r="Q51" s="119"/>
      <c r="R51" s="113">
        <f t="shared" si="1"/>
        <v>18500</v>
      </c>
    </row>
    <row r="52" spans="1:18" ht="14.25">
      <c r="A52" s="133" t="s">
        <v>305</v>
      </c>
      <c r="B52" s="119"/>
      <c r="C52" s="119"/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6"/>
      <c r="O52" s="113"/>
      <c r="P52" s="119"/>
      <c r="Q52" s="119"/>
      <c r="R52" s="113">
        <f t="shared" si="1"/>
        <v>0</v>
      </c>
    </row>
    <row r="53" spans="1:18" ht="14.25">
      <c r="A53" s="169" t="s">
        <v>306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f>SUM(C49:C53)</f>
        <v>6500</v>
      </c>
      <c r="D54" s="103">
        <v>0</v>
      </c>
      <c r="E54" s="103">
        <f>SUM(E49:E53)</f>
        <v>13020</v>
      </c>
      <c r="F54" s="103">
        <v>0</v>
      </c>
      <c r="G54" s="103">
        <f>SUM(G49:G53)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5400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27320</v>
      </c>
    </row>
    <row r="55" spans="1:18" ht="15" thickBot="1">
      <c r="A55" s="134" t="s">
        <v>39</v>
      </c>
      <c r="B55" s="136"/>
      <c r="C55" s="123">
        <f>SUM(C54)</f>
        <v>6500</v>
      </c>
      <c r="D55" s="136">
        <v>0</v>
      </c>
      <c r="E55" s="136">
        <f>SUM(E54)</f>
        <v>13020</v>
      </c>
      <c r="F55" s="136">
        <v>0</v>
      </c>
      <c r="G55" s="136">
        <f>SUM(G54)</f>
        <v>2400</v>
      </c>
      <c r="H55" s="136">
        <v>0</v>
      </c>
      <c r="I55" s="136">
        <v>0</v>
      </c>
      <c r="J55" s="136">
        <v>0</v>
      </c>
      <c r="K55" s="136">
        <v>0</v>
      </c>
      <c r="L55" s="136">
        <f>SUM(L54)</f>
        <v>5400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27320</v>
      </c>
    </row>
    <row r="56" spans="1:18" ht="15" thickTop="1">
      <c r="A56" s="137" t="s">
        <v>307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308</v>
      </c>
      <c r="B57" s="125"/>
      <c r="C57" s="125">
        <f>8000+1800+1000+8952</f>
        <v>19752</v>
      </c>
      <c r="D57" s="125"/>
      <c r="E57" s="125">
        <f>24000+600</f>
        <v>24600</v>
      </c>
      <c r="F57" s="125"/>
      <c r="G57" s="125"/>
      <c r="H57" s="125"/>
      <c r="I57" s="125"/>
      <c r="J57" s="125"/>
      <c r="K57" s="125"/>
      <c r="L57" s="125"/>
      <c r="M57" s="125"/>
      <c r="N57" s="125"/>
      <c r="O57" s="126"/>
      <c r="P57" s="125"/>
      <c r="Q57" s="125"/>
      <c r="R57" s="126">
        <f>SUM(C57:P57)</f>
        <v>44352</v>
      </c>
    </row>
    <row r="58" spans="1:18" ht="14.25">
      <c r="A58" s="133" t="s">
        <v>309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310</v>
      </c>
      <c r="B59" s="119"/>
      <c r="C59" s="119">
        <f>1000</f>
        <v>1000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f>1000</f>
        <v>1000</v>
      </c>
      <c r="P59" s="119"/>
      <c r="Q59" s="119"/>
      <c r="R59" s="113">
        <f>SUM(C59:P59)</f>
        <v>2000</v>
      </c>
    </row>
    <row r="60" spans="1:18" ht="14.25">
      <c r="A60" s="137" t="s">
        <v>311</v>
      </c>
      <c r="B60" s="119"/>
      <c r="C60" s="119">
        <v>3900</v>
      </c>
      <c r="D60" s="119"/>
      <c r="E60" s="119"/>
      <c r="F60" s="119"/>
      <c r="G60" s="119">
        <v>1200</v>
      </c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5100</v>
      </c>
    </row>
    <row r="61" spans="1:18" ht="14.25">
      <c r="A61" s="133" t="s">
        <v>38</v>
      </c>
      <c r="B61" s="103"/>
      <c r="C61" s="122">
        <f>SUM(C57:C60)</f>
        <v>24652</v>
      </c>
      <c r="D61" s="103">
        <v>0</v>
      </c>
      <c r="E61" s="103">
        <f>SUM(E57)</f>
        <v>24600</v>
      </c>
      <c r="F61" s="103">
        <v>0</v>
      </c>
      <c r="G61" s="103">
        <f>SUM(G60)</f>
        <v>1200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f>SUM(L57:L60)</f>
        <v>0</v>
      </c>
      <c r="M61" s="103">
        <v>0</v>
      </c>
      <c r="N61" s="103">
        <v>0</v>
      </c>
      <c r="O61" s="103">
        <f>SUM(O57:O60)</f>
        <v>1000</v>
      </c>
      <c r="P61" s="103">
        <v>0</v>
      </c>
      <c r="Q61" s="103"/>
      <c r="R61" s="115">
        <f>SUM(C61:P61)</f>
        <v>51452</v>
      </c>
    </row>
    <row r="62" spans="1:18" ht="15" thickBot="1">
      <c r="A62" s="134" t="s">
        <v>39</v>
      </c>
      <c r="B62" s="136"/>
      <c r="C62" s="123">
        <f>SUM(C61)</f>
        <v>24652</v>
      </c>
      <c r="D62" s="136">
        <v>0</v>
      </c>
      <c r="E62" s="136">
        <f>SUM(E61)</f>
        <v>24600</v>
      </c>
      <c r="F62" s="136">
        <v>0</v>
      </c>
      <c r="G62" s="136">
        <f>SUM(G61)</f>
        <v>1200</v>
      </c>
      <c r="H62" s="136">
        <v>0</v>
      </c>
      <c r="I62" s="136">
        <v>0</v>
      </c>
      <c r="J62" s="136">
        <v>0</v>
      </c>
      <c r="K62" s="136">
        <v>0</v>
      </c>
      <c r="L62" s="136">
        <f>SUM(L61)</f>
        <v>0</v>
      </c>
      <c r="M62" s="136">
        <v>0</v>
      </c>
      <c r="N62" s="136">
        <v>0</v>
      </c>
      <c r="O62" s="136">
        <f>SUM(O61)</f>
        <v>1000</v>
      </c>
      <c r="P62" s="136">
        <v>0</v>
      </c>
      <c r="Q62" s="136"/>
      <c r="R62" s="116">
        <f>SUM(C62:P62)</f>
        <v>51452</v>
      </c>
    </row>
    <row r="63" spans="1:18" ht="15" thickTop="1">
      <c r="A63" s="137" t="s">
        <v>312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313</v>
      </c>
      <c r="B64" s="125"/>
      <c r="C64" s="125"/>
      <c r="D64" s="125"/>
      <c r="E64" s="125">
        <v>26482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26482</v>
      </c>
    </row>
    <row r="65" spans="1:18" ht="14.25">
      <c r="A65" s="133" t="s">
        <v>314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315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316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317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319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320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321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322</v>
      </c>
      <c r="B73" s="119"/>
      <c r="C73" s="119"/>
      <c r="D73" s="119"/>
      <c r="E73" s="119">
        <v>38200</v>
      </c>
      <c r="F73" s="119"/>
      <c r="G73" s="119"/>
      <c r="H73" s="119"/>
      <c r="I73" s="119"/>
      <c r="J73" s="119"/>
      <c r="K73" s="119"/>
      <c r="L73" s="119">
        <v>900</v>
      </c>
      <c r="M73" s="119"/>
      <c r="N73" s="119"/>
      <c r="O73" s="113"/>
      <c r="P73" s="119"/>
      <c r="Q73" s="119"/>
      <c r="R73" s="113">
        <f>SUM(B73:Q73)</f>
        <v>39100</v>
      </c>
    </row>
    <row r="74" spans="1:18" ht="14.25">
      <c r="A74" s="137" t="s">
        <v>323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324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0</v>
      </c>
      <c r="D76" s="103">
        <v>0</v>
      </c>
      <c r="E76" s="103">
        <f>SUM(E64:E75)</f>
        <v>64682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900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65582</v>
      </c>
    </row>
    <row r="77" spans="1:18" ht="15" thickBot="1">
      <c r="A77" s="134" t="s">
        <v>39</v>
      </c>
      <c r="B77" s="136"/>
      <c r="C77" s="123">
        <f>SUM(C76)</f>
        <v>0</v>
      </c>
      <c r="D77" s="136">
        <v>0</v>
      </c>
      <c r="E77" s="136">
        <f>E76</f>
        <v>64682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f>SUM(L76)</f>
        <v>900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65582</v>
      </c>
    </row>
    <row r="78" ht="15" thickTop="1"/>
    <row r="81" spans="1:18" s="107" customFormat="1" ht="13.5" customHeight="1">
      <c r="A81" s="108" t="s">
        <v>124</v>
      </c>
      <c r="B81" s="322" t="s">
        <v>100</v>
      </c>
      <c r="C81" s="325" t="s">
        <v>101</v>
      </c>
      <c r="D81" s="325"/>
      <c r="E81" s="325"/>
      <c r="F81" s="130" t="s">
        <v>102</v>
      </c>
      <c r="G81" s="325" t="s">
        <v>103</v>
      </c>
      <c r="H81" s="325"/>
      <c r="I81" s="325" t="s">
        <v>104</v>
      </c>
      <c r="J81" s="325"/>
      <c r="K81" s="130" t="s">
        <v>105</v>
      </c>
      <c r="L81" s="325" t="s">
        <v>106</v>
      </c>
      <c r="M81" s="325"/>
      <c r="N81" s="325" t="s">
        <v>107</v>
      </c>
      <c r="O81" s="325"/>
      <c r="P81" s="320" t="s">
        <v>122</v>
      </c>
      <c r="Q81" s="321"/>
      <c r="R81" s="323" t="s">
        <v>20</v>
      </c>
    </row>
    <row r="82" spans="1:18" s="107" customFormat="1" ht="13.5" customHeight="1">
      <c r="A82" s="109" t="s">
        <v>125</v>
      </c>
      <c r="B82" s="322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350</v>
      </c>
      <c r="Q82" s="245" t="s">
        <v>123</v>
      </c>
      <c r="R82" s="324"/>
    </row>
    <row r="83" spans="1:18" ht="13.5" customHeight="1">
      <c r="A83" s="135" t="s">
        <v>325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326</v>
      </c>
      <c r="B84" s="110"/>
      <c r="C84" s="110">
        <v>9532.29</v>
      </c>
      <c r="D84" s="110"/>
      <c r="E84" s="110"/>
      <c r="F84" s="110"/>
      <c r="G84" s="110">
        <v>2366.72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11899.01</v>
      </c>
    </row>
    <row r="85" spans="1:18" ht="13.5" customHeight="1">
      <c r="A85" s="133" t="s">
        <v>327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328</v>
      </c>
      <c r="B86" s="113"/>
      <c r="C86" s="113">
        <v>1089.26</v>
      </c>
      <c r="D86" s="113"/>
      <c r="E86" s="113"/>
      <c r="F86" s="113"/>
      <c r="G86" s="113">
        <v>438.7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1527.96</v>
      </c>
    </row>
    <row r="87" spans="1:18" ht="13.5" customHeight="1">
      <c r="A87" s="132" t="s">
        <v>329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1:18" ht="13.5" customHeight="1">
      <c r="A88" s="133" t="s">
        <v>330</v>
      </c>
      <c r="B88" s="114"/>
      <c r="C88" s="114">
        <v>5339.3</v>
      </c>
      <c r="D88" s="114"/>
      <c r="E88" s="114"/>
      <c r="F88" s="114"/>
      <c r="G88" s="114"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7040.6</v>
      </c>
    </row>
    <row r="89" spans="1:18" ht="13.5" customHeight="1">
      <c r="A89" s="133" t="s">
        <v>38</v>
      </c>
      <c r="B89" s="103"/>
      <c r="C89" s="103">
        <f>SUM(C84:C88)</f>
        <v>15960.850000000002</v>
      </c>
      <c r="D89" s="103">
        <v>0</v>
      </c>
      <c r="E89" s="103">
        <v>0</v>
      </c>
      <c r="F89" s="103">
        <v>0</v>
      </c>
      <c r="G89" s="103">
        <f>SUM(G84:G88)</f>
        <v>4506.719999999999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20467.57</v>
      </c>
    </row>
    <row r="90" spans="1:18" ht="13.5" customHeight="1" thickBot="1">
      <c r="A90" s="134" t="s">
        <v>39</v>
      </c>
      <c r="B90" s="103"/>
      <c r="C90" s="103">
        <f>SUM(C89)</f>
        <v>15960.850000000002</v>
      </c>
      <c r="D90" s="103">
        <v>0</v>
      </c>
      <c r="E90" s="103">
        <v>0</v>
      </c>
      <c r="F90" s="103">
        <v>0</v>
      </c>
      <c r="G90" s="103">
        <f>SUM(G89)</f>
        <v>4506.719999999999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3"/>
      <c r="R90" s="116">
        <f>SUM(C90:P90)</f>
        <v>20467.57</v>
      </c>
    </row>
    <row r="91" spans="1:18" ht="13.5" customHeight="1" thickTop="1">
      <c r="A91" s="135" t="s">
        <v>331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332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333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334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335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336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337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338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339</v>
      </c>
      <c r="B99" s="120"/>
      <c r="C99" s="120"/>
      <c r="D99" s="120"/>
      <c r="E99" s="120"/>
      <c r="F99" s="120"/>
      <c r="G99" s="120">
        <v>35000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67">
        <f>SUM(G99:Q99)</f>
        <v>35000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15">
        <f>SUM(G99)</f>
        <v>35000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15">
        <f>SUM(G100)</f>
        <v>35000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f>SUM(G100)</f>
        <v>35000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35000</v>
      </c>
    </row>
    <row r="102" spans="1:18" ht="13.5" customHeight="1" thickTop="1">
      <c r="A102" s="137" t="s">
        <v>340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341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342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343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/>
      <c r="R105" s="113"/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/>
      <c r="R106" s="103">
        <f>SUM(C106:P106)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/>
      <c r="R107" s="116">
        <f>SUM(C107:P107)</f>
        <v>0</v>
      </c>
    </row>
    <row r="108" spans="1:18" ht="13.5" customHeight="1" thickTop="1">
      <c r="A108" s="137" t="s">
        <v>344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345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346</v>
      </c>
      <c r="B110" s="120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347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348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349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148324</v>
      </c>
      <c r="C118" s="103">
        <f>SUM(C13+C22+C28+C33+C46+C54+C61+C76+C89+C100+C106+C112+C117)</f>
        <v>494912.85</v>
      </c>
      <c r="D118" s="195">
        <v>0</v>
      </c>
      <c r="E118" s="195">
        <f>SUM(E13+E22+E28+E33+E46+E54+E61+E76+E89+E100+E106+E112+E117)</f>
        <v>227357</v>
      </c>
      <c r="F118" s="195">
        <v>0</v>
      </c>
      <c r="G118" s="195">
        <f>SUM(G13+G22+G28+G33+G46+G54+G61+G76+G89+G100+G106+G112)</f>
        <v>95666.72</v>
      </c>
      <c r="H118" s="195">
        <v>0</v>
      </c>
      <c r="I118" s="195">
        <f>SUM(I13+I22+I28+I33+I46+I54+I61+I76+I89+I100+I106+I112)</f>
        <v>9000</v>
      </c>
      <c r="J118" s="195">
        <v>0</v>
      </c>
      <c r="K118" s="195">
        <v>0</v>
      </c>
      <c r="L118" s="195">
        <f>SUM(L13+L22+L28+L33+L46+L54+L61+L76+L89+L100+L106+L112)</f>
        <v>70170</v>
      </c>
      <c r="M118" s="195">
        <v>0</v>
      </c>
      <c r="N118" s="195">
        <v>0</v>
      </c>
      <c r="O118" s="195">
        <f>SUM(O13+O22+O28+O33+O46+O54+O61+O76+O89+O100+O106+O112)</f>
        <v>1000</v>
      </c>
      <c r="P118" s="195">
        <v>0</v>
      </c>
      <c r="Q118" s="195"/>
      <c r="R118" s="115">
        <f>SUM(B118:Q118)</f>
        <v>1046430.57</v>
      </c>
    </row>
    <row r="119" spans="1:18" ht="13.5" customHeight="1" thickBot="1">
      <c r="A119" s="134" t="s">
        <v>39</v>
      </c>
      <c r="B119" s="116">
        <f>SUM(B118)</f>
        <v>148324</v>
      </c>
      <c r="C119" s="136">
        <f>SUM(C118)</f>
        <v>494912.85</v>
      </c>
      <c r="D119" s="136">
        <v>0</v>
      </c>
      <c r="E119" s="136">
        <f>SUM(E118)</f>
        <v>227357</v>
      </c>
      <c r="F119" s="136">
        <v>0</v>
      </c>
      <c r="G119" s="136">
        <f>SUM(G118)</f>
        <v>95666.72</v>
      </c>
      <c r="H119" s="136">
        <v>0</v>
      </c>
      <c r="I119" s="136">
        <f>SUM(I118)</f>
        <v>9000</v>
      </c>
      <c r="J119" s="136">
        <v>0</v>
      </c>
      <c r="K119" s="136">
        <v>0</v>
      </c>
      <c r="L119" s="136">
        <f>SUM(L118)</f>
        <v>70170</v>
      </c>
      <c r="M119" s="136">
        <v>0</v>
      </c>
      <c r="N119" s="136">
        <v>0</v>
      </c>
      <c r="O119" s="136">
        <f>SUM(O118)</f>
        <v>1000</v>
      </c>
      <c r="P119" s="136">
        <v>0</v>
      </c>
      <c r="Q119" s="136"/>
      <c r="R119" s="116">
        <f>SUM(B119:Q119)</f>
        <v>1046430.57</v>
      </c>
    </row>
    <row r="120" ht="15" thickTop="1"/>
  </sheetData>
  <sheetProtection/>
  <mergeCells count="27">
    <mergeCell ref="B41:B42"/>
    <mergeCell ref="C41:E41"/>
    <mergeCell ref="I41:J41"/>
    <mergeCell ref="L41:M41"/>
    <mergeCell ref="G41:H41"/>
    <mergeCell ref="I5:J5"/>
    <mergeCell ref="L5:M5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5" width="7.421875" style="124" customWidth="1"/>
    <col min="16" max="16" width="7.57421875" style="12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6" t="s">
        <v>99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</row>
    <row r="2" spans="1:18" ht="16.5">
      <c r="A2" s="326" t="s">
        <v>119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ht="16.5">
      <c r="A3" s="327" t="s">
        <v>506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="168" customFormat="1" ht="14.25">
      <c r="Q4" s="244"/>
    </row>
    <row r="5" spans="1:18" s="107" customFormat="1" ht="14.25">
      <c r="A5" s="108" t="s">
        <v>124</v>
      </c>
      <c r="B5" s="322" t="s">
        <v>100</v>
      </c>
      <c r="C5" s="325" t="s">
        <v>101</v>
      </c>
      <c r="D5" s="325"/>
      <c r="E5" s="325"/>
      <c r="F5" s="130" t="s">
        <v>102</v>
      </c>
      <c r="G5" s="325" t="s">
        <v>103</v>
      </c>
      <c r="H5" s="325"/>
      <c r="I5" s="325" t="s">
        <v>104</v>
      </c>
      <c r="J5" s="325"/>
      <c r="K5" s="130" t="s">
        <v>105</v>
      </c>
      <c r="L5" s="325" t="s">
        <v>106</v>
      </c>
      <c r="M5" s="325"/>
      <c r="N5" s="130" t="s">
        <v>511</v>
      </c>
      <c r="O5" s="320" t="s">
        <v>107</v>
      </c>
      <c r="P5" s="321"/>
      <c r="Q5" s="268" t="s">
        <v>122</v>
      </c>
      <c r="R5" s="323" t="s">
        <v>20</v>
      </c>
    </row>
    <row r="6" spans="1:18" s="107" customFormat="1" ht="14.25">
      <c r="A6" s="109" t="s">
        <v>125</v>
      </c>
      <c r="B6" s="322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510</v>
      </c>
      <c r="O6" s="130" t="s">
        <v>117</v>
      </c>
      <c r="P6" s="130" t="s">
        <v>118</v>
      </c>
      <c r="Q6" s="245" t="s">
        <v>123</v>
      </c>
      <c r="R6" s="324"/>
    </row>
    <row r="7" spans="1:18" ht="14.25">
      <c r="A7" s="131" t="s">
        <v>279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280</v>
      </c>
      <c r="B8" s="110">
        <f>74870-5089</f>
        <v>69781</v>
      </c>
      <c r="C8" s="110" t="s">
        <v>277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69781</v>
      </c>
    </row>
    <row r="9" spans="1:18" ht="14.25">
      <c r="A9" s="133" t="s">
        <v>281</v>
      </c>
      <c r="B9" s="113">
        <f>24000-2000</f>
        <v>22000</v>
      </c>
      <c r="C9" s="113"/>
      <c r="D9" s="113"/>
      <c r="E9" s="113"/>
      <c r="F9" s="113" t="s">
        <v>277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22000</v>
      </c>
    </row>
    <row r="10" spans="1:18" ht="14.25">
      <c r="A10" s="133" t="s">
        <v>282</v>
      </c>
      <c r="B10" s="113">
        <v>187243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187243</v>
      </c>
    </row>
    <row r="11" spans="1:18" ht="14.25">
      <c r="A11" s="133" t="s">
        <v>283</v>
      </c>
      <c r="B11" s="113">
        <v>140000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140000</v>
      </c>
    </row>
    <row r="12" spans="1:18" ht="14.25">
      <c r="A12" s="133" t="s">
        <v>284</v>
      </c>
      <c r="B12" s="129">
        <f>141240-141235</f>
        <v>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SUM(B12)</f>
        <v>5</v>
      </c>
    </row>
    <row r="13" spans="1:18" ht="15" thickBot="1">
      <c r="A13" s="133" t="s">
        <v>38</v>
      </c>
      <c r="B13" s="115">
        <f>SUM(B8:B12)</f>
        <v>419029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419029</v>
      </c>
    </row>
    <row r="14" spans="1:18" ht="15" thickTop="1">
      <c r="A14" s="135" t="s">
        <v>285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7"/>
      <c r="R14" s="118"/>
    </row>
    <row r="15" spans="1:18" ht="14.25">
      <c r="A15" s="133" t="s">
        <v>286</v>
      </c>
      <c r="B15" s="119"/>
      <c r="C15" s="113">
        <f>530000-42840</f>
        <v>487160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3"/>
      <c r="Q15" s="119"/>
      <c r="R15" s="113">
        <f>SUM(C15:P15)</f>
        <v>487160</v>
      </c>
    </row>
    <row r="16" spans="1:18" ht="14.25">
      <c r="A16" s="132" t="s">
        <v>287</v>
      </c>
      <c r="B16" s="120"/>
      <c r="C16" s="120">
        <f>43000-3510</f>
        <v>39490</v>
      </c>
      <c r="D16" s="120"/>
      <c r="E16" s="120"/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20"/>
      <c r="P16" s="110"/>
      <c r="Q16" s="120"/>
      <c r="R16" s="110">
        <f>SUM(C16:P16)</f>
        <v>39490</v>
      </c>
    </row>
    <row r="17" spans="1:18" ht="14.25">
      <c r="A17" s="133" t="s">
        <v>288</v>
      </c>
      <c r="B17" s="119"/>
      <c r="C17" s="119">
        <f>43000-3510</f>
        <v>39490</v>
      </c>
      <c r="D17" s="119"/>
      <c r="E17" s="119"/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9"/>
      <c r="P17" s="113"/>
      <c r="Q17" s="119"/>
      <c r="R17" s="113">
        <f>SUM(C17:P17)</f>
        <v>39490</v>
      </c>
    </row>
    <row r="18" spans="1:18" ht="14.25">
      <c r="A18" s="133" t="s">
        <v>289</v>
      </c>
      <c r="B18" s="119"/>
      <c r="C18" s="113">
        <f>86400-7200</f>
        <v>79200</v>
      </c>
      <c r="D18" s="119"/>
      <c r="E18" s="119"/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9"/>
      <c r="P18" s="113"/>
      <c r="Q18" s="119"/>
      <c r="R18" s="113">
        <f>SUM(C18:P18)</f>
        <v>79200</v>
      </c>
    </row>
    <row r="19" spans="1:18" ht="14.25">
      <c r="A19" s="132" t="s">
        <v>290</v>
      </c>
      <c r="B19" s="120"/>
      <c r="C19" s="120">
        <f>2145600-178800</f>
        <v>1966800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10"/>
      <c r="Q19" s="120"/>
      <c r="R19" s="110">
        <f>SUM(C19:P19)</f>
        <v>1966800</v>
      </c>
    </row>
    <row r="20" spans="1:18" ht="14.25">
      <c r="A20" s="133" t="s">
        <v>291</v>
      </c>
      <c r="B20" s="119"/>
      <c r="C20" s="113">
        <f>86400-7200</f>
        <v>79200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3"/>
      <c r="Q20" s="119"/>
      <c r="R20" s="113">
        <f>SUM(C20:P20)</f>
        <v>79200</v>
      </c>
    </row>
    <row r="21" spans="1:18" ht="15" thickBot="1">
      <c r="A21" s="133" t="s">
        <v>38</v>
      </c>
      <c r="B21" s="136"/>
      <c r="C21" s="123">
        <f>SUM(C15:C20)</f>
        <v>2691340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>SUM(C21:P21)</f>
        <v>2691340</v>
      </c>
    </row>
    <row r="22" spans="1:18" ht="15" thickTop="1">
      <c r="A22" s="132" t="s">
        <v>292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6"/>
      <c r="Q22" s="120"/>
      <c r="R22" s="110"/>
    </row>
    <row r="23" spans="1:18" ht="14.25">
      <c r="A23" s="133" t="s">
        <v>293</v>
      </c>
      <c r="B23" s="119"/>
      <c r="C23" s="119">
        <f>1940000-156780</f>
        <v>1783220</v>
      </c>
      <c r="D23" s="119"/>
      <c r="E23" s="119">
        <f>1360000-100270</f>
        <v>1259730</v>
      </c>
      <c r="F23" s="119"/>
      <c r="G23" s="119">
        <f>250000-20360</f>
        <v>229640</v>
      </c>
      <c r="H23" s="119"/>
      <c r="I23" s="119"/>
      <c r="J23" s="119"/>
      <c r="K23" s="119"/>
      <c r="L23" s="119">
        <f>563000-40470</f>
        <v>522530</v>
      </c>
      <c r="M23" s="119"/>
      <c r="N23" s="119"/>
      <c r="O23" s="119"/>
      <c r="P23" s="113"/>
      <c r="Q23" s="119"/>
      <c r="R23" s="113">
        <f>SUM(C23:P23)</f>
        <v>3795120</v>
      </c>
    </row>
    <row r="24" spans="1:18" ht="14.25">
      <c r="A24" s="133" t="s">
        <v>294</v>
      </c>
      <c r="B24" s="119"/>
      <c r="C24" s="119">
        <f>5000</f>
        <v>5000</v>
      </c>
      <c r="D24" s="119"/>
      <c r="E24" s="119">
        <v>15500</v>
      </c>
      <c r="F24" s="119"/>
      <c r="G24" s="119"/>
      <c r="H24" s="119"/>
      <c r="I24" s="119"/>
      <c r="J24" s="119"/>
      <c r="K24" s="119"/>
      <c r="L24" s="119">
        <v>9000</v>
      </c>
      <c r="M24" s="119"/>
      <c r="N24" s="119"/>
      <c r="O24" s="119"/>
      <c r="P24" s="113"/>
      <c r="Q24" s="119"/>
      <c r="R24" s="113">
        <f>SUM(C24:P24)</f>
        <v>29500</v>
      </c>
    </row>
    <row r="25" spans="1:18" ht="14.25">
      <c r="A25" s="132" t="s">
        <v>295</v>
      </c>
      <c r="B25" s="120"/>
      <c r="C25" s="120">
        <f>176400-14700</f>
        <v>161700</v>
      </c>
      <c r="D25" s="120"/>
      <c r="E25" s="120">
        <f>42000-3500</f>
        <v>38500</v>
      </c>
      <c r="F25" s="120"/>
      <c r="G25" s="120"/>
      <c r="H25" s="120"/>
      <c r="I25" s="120"/>
      <c r="J25" s="120"/>
      <c r="K25" s="120"/>
      <c r="L25" s="120">
        <f>42000-3500</f>
        <v>38500</v>
      </c>
      <c r="M25" s="120"/>
      <c r="N25" s="120"/>
      <c r="O25" s="120"/>
      <c r="P25" s="110"/>
      <c r="Q25" s="120"/>
      <c r="R25" s="110">
        <f>SUM(C25:P25)</f>
        <v>238700</v>
      </c>
    </row>
    <row r="26" spans="1:18" ht="15" thickBot="1">
      <c r="A26" s="133" t="s">
        <v>38</v>
      </c>
      <c r="B26" s="136"/>
      <c r="C26" s="123">
        <f>SUM(C23:C25)</f>
        <v>1949920</v>
      </c>
      <c r="D26" s="136">
        <v>0</v>
      </c>
      <c r="E26" s="136">
        <f>SUM(E23:E25)</f>
        <v>1313730</v>
      </c>
      <c r="F26" s="136">
        <v>0</v>
      </c>
      <c r="G26" s="136">
        <f>SUM(G23:G25)</f>
        <v>229640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570030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4063320</v>
      </c>
    </row>
    <row r="27" spans="1:18" ht="15" thickTop="1">
      <c r="A27" s="132" t="s">
        <v>292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0"/>
      <c r="Q27" s="120"/>
      <c r="R27" s="127"/>
    </row>
    <row r="28" spans="1:18" ht="14.25">
      <c r="A28" s="133" t="s">
        <v>296</v>
      </c>
      <c r="B28" s="119"/>
      <c r="C28" s="119">
        <f>150000-10760</f>
        <v>139240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9"/>
      <c r="P28" s="113"/>
      <c r="Q28" s="119"/>
      <c r="R28" s="113">
        <f>SUM(C28:P28)</f>
        <v>139240</v>
      </c>
    </row>
    <row r="29" spans="1:18" ht="14.25">
      <c r="A29" s="132" t="s">
        <v>297</v>
      </c>
      <c r="B29" s="121"/>
      <c r="C29" s="120">
        <f>18000-1500</f>
        <v>16500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20"/>
      <c r="P29" s="110"/>
      <c r="Q29" s="120"/>
      <c r="R29" s="110">
        <f>SUM(C29:P29)</f>
        <v>16500</v>
      </c>
    </row>
    <row r="30" spans="1:18" ht="15" thickBot="1">
      <c r="A30" s="133" t="s">
        <v>38</v>
      </c>
      <c r="B30" s="136"/>
      <c r="C30" s="123">
        <f>SUM(C28:C29)</f>
        <v>155740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155740</v>
      </c>
    </row>
    <row r="31" ht="15" thickTop="1">
      <c r="C31" s="249"/>
    </row>
    <row r="42" spans="1:18" s="107" customFormat="1" ht="14.25">
      <c r="A42" s="108" t="s">
        <v>124</v>
      </c>
      <c r="B42" s="322" t="s">
        <v>100</v>
      </c>
      <c r="C42" s="325" t="s">
        <v>101</v>
      </c>
      <c r="D42" s="325"/>
      <c r="E42" s="325"/>
      <c r="F42" s="130" t="s">
        <v>102</v>
      </c>
      <c r="G42" s="325" t="s">
        <v>103</v>
      </c>
      <c r="H42" s="325"/>
      <c r="I42" s="325" t="s">
        <v>104</v>
      </c>
      <c r="J42" s="325"/>
      <c r="K42" s="130" t="s">
        <v>105</v>
      </c>
      <c r="L42" s="325" t="s">
        <v>106</v>
      </c>
      <c r="M42" s="325"/>
      <c r="N42" s="130" t="s">
        <v>511</v>
      </c>
      <c r="O42" s="325" t="s">
        <v>107</v>
      </c>
      <c r="P42" s="325"/>
      <c r="Q42" s="268"/>
      <c r="R42" s="323" t="s">
        <v>20</v>
      </c>
    </row>
    <row r="43" spans="1:18" s="107" customFormat="1" ht="14.25">
      <c r="A43" s="109" t="s">
        <v>125</v>
      </c>
      <c r="B43" s="322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510</v>
      </c>
      <c r="O43" s="130" t="s">
        <v>117</v>
      </c>
      <c r="P43" s="130" t="s">
        <v>118</v>
      </c>
      <c r="Q43" s="245" t="s">
        <v>123</v>
      </c>
      <c r="R43" s="324"/>
    </row>
    <row r="44" spans="1:18" ht="14.25">
      <c r="A44" s="135" t="s">
        <v>292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5" t="s">
        <v>299</v>
      </c>
      <c r="B45" s="113"/>
      <c r="C45" s="113">
        <f>250000-19500</f>
        <v>230500</v>
      </c>
      <c r="D45" s="113"/>
      <c r="E45" s="113">
        <f>250000-20330</f>
        <v>229670</v>
      </c>
      <c r="F45" s="113"/>
      <c r="G45" s="113">
        <f>630000-32200</f>
        <v>597800</v>
      </c>
      <c r="H45" s="113"/>
      <c r="I45" s="113">
        <f>108000-9000</f>
        <v>99000</v>
      </c>
      <c r="J45" s="113"/>
      <c r="K45" s="113"/>
      <c r="L45" s="113">
        <f>226000-18400</f>
        <v>207600</v>
      </c>
      <c r="M45" s="113"/>
      <c r="N45" s="113"/>
      <c r="O45" s="113"/>
      <c r="P45" s="113"/>
      <c r="Q45" s="113"/>
      <c r="R45" s="113">
        <f>SUM(C45:P45)</f>
        <v>1364570</v>
      </c>
    </row>
    <row r="46" spans="1:18" ht="14.25">
      <c r="A46" s="132" t="s">
        <v>300</v>
      </c>
      <c r="B46" s="110"/>
      <c r="C46" s="110">
        <f>18000-1500</f>
        <v>16500</v>
      </c>
      <c r="D46" s="110"/>
      <c r="E46" s="110">
        <f>29000-955</f>
        <v>28045</v>
      </c>
      <c r="F46" s="110"/>
      <c r="G46" s="110">
        <v>0</v>
      </c>
      <c r="H46" s="110"/>
      <c r="I46" s="110">
        <v>0</v>
      </c>
      <c r="J46" s="110"/>
      <c r="K46" s="110"/>
      <c r="L46" s="110">
        <f>18000-1500</f>
        <v>16500</v>
      </c>
      <c r="M46" s="110"/>
      <c r="N46" s="110"/>
      <c r="O46" s="110"/>
      <c r="P46" s="110"/>
      <c r="Q46" s="110"/>
      <c r="R46" s="110">
        <f>SUM(C46:P46)</f>
        <v>61045</v>
      </c>
    </row>
    <row r="47" spans="1:18" ht="15" thickBot="1">
      <c r="A47" s="133" t="s">
        <v>38</v>
      </c>
      <c r="B47" s="103"/>
      <c r="C47" s="115">
        <f>SUM(C45:C46)</f>
        <v>247000</v>
      </c>
      <c r="D47" s="103">
        <v>0</v>
      </c>
      <c r="E47" s="103">
        <f>SUM(E44:E46)</f>
        <v>257715</v>
      </c>
      <c r="F47" s="103">
        <v>0</v>
      </c>
      <c r="G47" s="103">
        <f>SUM(G45:G46)</f>
        <v>597800</v>
      </c>
      <c r="H47" s="103">
        <v>0</v>
      </c>
      <c r="I47" s="103">
        <f>SUM(I45:I46)</f>
        <v>99000</v>
      </c>
      <c r="J47" s="103">
        <v>0</v>
      </c>
      <c r="K47" s="103">
        <v>0</v>
      </c>
      <c r="L47" s="103">
        <f>SUM(L45:L46)</f>
        <v>224100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4">
        <f>SUM(C47:P47)</f>
        <v>1425615</v>
      </c>
    </row>
    <row r="48" spans="1:18" ht="15" thickTop="1">
      <c r="A48" s="135" t="s">
        <v>301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17"/>
      <c r="R48" s="118"/>
    </row>
    <row r="49" spans="1:18" ht="14.25">
      <c r="A49" s="133" t="s">
        <v>302</v>
      </c>
      <c r="B49" s="119"/>
      <c r="C49" s="119">
        <v>585000</v>
      </c>
      <c r="D49" s="119"/>
      <c r="E49" s="119">
        <v>402000</v>
      </c>
      <c r="F49" s="119"/>
      <c r="G49" s="119">
        <v>220000</v>
      </c>
      <c r="H49" s="119"/>
      <c r="I49" s="119">
        <v>27000</v>
      </c>
      <c r="J49" s="119"/>
      <c r="K49" s="119"/>
      <c r="L49" s="119">
        <v>252000</v>
      </c>
      <c r="M49" s="119">
        <v>0</v>
      </c>
      <c r="N49" s="119"/>
      <c r="O49" s="119"/>
      <c r="P49" s="113"/>
      <c r="Q49" s="119"/>
      <c r="R49" s="113">
        <f>SUM(C49:P49)</f>
        <v>1486000</v>
      </c>
    </row>
    <row r="50" spans="1:18" ht="14.25">
      <c r="A50" s="132" t="s">
        <v>303</v>
      </c>
      <c r="B50" s="120"/>
      <c r="C50" s="120">
        <v>10000</v>
      </c>
      <c r="D50" s="120"/>
      <c r="E50" s="120">
        <f>20000-8820</f>
        <v>11180</v>
      </c>
      <c r="F50" s="120"/>
      <c r="G50" s="120">
        <v>5000</v>
      </c>
      <c r="H50" s="120"/>
      <c r="I50" s="120">
        <v>3000</v>
      </c>
      <c r="J50" s="120"/>
      <c r="K50" s="120"/>
      <c r="L50" s="120">
        <v>5000</v>
      </c>
      <c r="M50" s="120"/>
      <c r="N50" s="120"/>
      <c r="O50" s="120"/>
      <c r="P50" s="110"/>
      <c r="Q50" s="120"/>
      <c r="R50" s="110">
        <f>SUM(C50:P50)</f>
        <v>34180</v>
      </c>
    </row>
    <row r="51" spans="1:18" ht="14.25">
      <c r="A51" s="133" t="s">
        <v>304</v>
      </c>
      <c r="B51" s="119"/>
      <c r="C51" s="119">
        <f>150000-6500</f>
        <v>143500</v>
      </c>
      <c r="D51" s="119"/>
      <c r="E51" s="119">
        <f>90000-4200</f>
        <v>85800</v>
      </c>
      <c r="F51" s="119"/>
      <c r="G51" s="119">
        <f>36000-2400</f>
        <v>33600</v>
      </c>
      <c r="H51" s="119"/>
      <c r="I51" s="119"/>
      <c r="J51" s="119"/>
      <c r="K51" s="119"/>
      <c r="L51" s="119">
        <f>78000-5400</f>
        <v>72600</v>
      </c>
      <c r="M51" s="119"/>
      <c r="N51" s="119"/>
      <c r="O51" s="119"/>
      <c r="P51" s="113"/>
      <c r="Q51" s="119"/>
      <c r="R51" s="113">
        <f>SUM(C51:P51)</f>
        <v>335500</v>
      </c>
    </row>
    <row r="52" spans="1:18" ht="14.25">
      <c r="A52" s="133" t="s">
        <v>305</v>
      </c>
      <c r="B52" s="119"/>
      <c r="C52" s="119">
        <v>50000</v>
      </c>
      <c r="D52" s="119"/>
      <c r="E52" s="119">
        <v>20000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6"/>
      <c r="O52" s="236"/>
      <c r="P52" s="113"/>
      <c r="Q52" s="119"/>
      <c r="R52" s="113">
        <f>SUM(C52:P52)</f>
        <v>75000</v>
      </c>
    </row>
    <row r="53" spans="1:18" ht="14.25">
      <c r="A53" s="169" t="s">
        <v>306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237"/>
      <c r="P53" s="114"/>
      <c r="Q53" s="121"/>
      <c r="R53" s="238"/>
    </row>
    <row r="54" spans="1:18" ht="15" thickBot="1">
      <c r="A54" s="133" t="s">
        <v>38</v>
      </c>
      <c r="B54" s="136"/>
      <c r="C54" s="123">
        <f>SUM(C49:C53)</f>
        <v>788500</v>
      </c>
      <c r="D54" s="136">
        <v>0</v>
      </c>
      <c r="E54" s="136">
        <f>SUM(E49:E52)</f>
        <v>518980</v>
      </c>
      <c r="F54" s="136">
        <v>0</v>
      </c>
      <c r="G54" s="136">
        <f>SUM(G49:G53)</f>
        <v>258600</v>
      </c>
      <c r="H54" s="136">
        <v>0</v>
      </c>
      <c r="I54" s="136">
        <f>SUM(I49:I53)</f>
        <v>30000</v>
      </c>
      <c r="J54" s="136">
        <v>0</v>
      </c>
      <c r="K54" s="136">
        <v>0</v>
      </c>
      <c r="L54" s="136">
        <f>SUM(L49:L53)</f>
        <v>334600</v>
      </c>
      <c r="M54" s="136">
        <f>SUM(M49:M52)</f>
        <v>0</v>
      </c>
      <c r="N54" s="248">
        <v>0</v>
      </c>
      <c r="O54" s="248">
        <v>0</v>
      </c>
      <c r="P54" s="136">
        <v>0</v>
      </c>
      <c r="Q54" s="136"/>
      <c r="R54" s="115">
        <f>SUM(C54:P54)</f>
        <v>1930680</v>
      </c>
    </row>
    <row r="55" spans="1:18" ht="15" thickTop="1">
      <c r="A55" s="137" t="s">
        <v>307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308</v>
      </c>
      <c r="B56" s="125"/>
      <c r="C56" s="125">
        <f>480000-19752</f>
        <v>460248</v>
      </c>
      <c r="D56" s="125"/>
      <c r="E56" s="125">
        <f>70000-24600</f>
        <v>45400</v>
      </c>
      <c r="F56" s="125"/>
      <c r="G56" s="125">
        <v>60000</v>
      </c>
      <c r="H56" s="125"/>
      <c r="I56" s="125">
        <v>20000</v>
      </c>
      <c r="J56" s="125"/>
      <c r="K56" s="125" t="s">
        <v>277</v>
      </c>
      <c r="L56" s="125">
        <v>85000</v>
      </c>
      <c r="M56" s="125">
        <v>300000</v>
      </c>
      <c r="N56" s="125"/>
      <c r="O56" s="125"/>
      <c r="P56" s="126"/>
      <c r="Q56" s="125"/>
      <c r="R56" s="126">
        <f>SUM(C56:P56)</f>
        <v>970648</v>
      </c>
    </row>
    <row r="57" spans="1:18" ht="14.25">
      <c r="A57" s="133" t="s">
        <v>309</v>
      </c>
      <c r="B57" s="119"/>
      <c r="C57" s="119">
        <f>70000</f>
        <v>70000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9"/>
      <c r="P57" s="113"/>
      <c r="Q57" s="119"/>
      <c r="R57" s="113">
        <f>SUM(C57:Q57)</f>
        <v>80000</v>
      </c>
    </row>
    <row r="58" spans="1:18" ht="14.25">
      <c r="A58" s="137" t="s">
        <v>310</v>
      </c>
      <c r="B58" s="119"/>
      <c r="C58" s="119">
        <f>585000-1000</f>
        <v>584000</v>
      </c>
      <c r="D58" s="119">
        <v>50000</v>
      </c>
      <c r="E58" s="119">
        <v>40000</v>
      </c>
      <c r="F58" s="119">
        <v>240000</v>
      </c>
      <c r="G58" s="119">
        <v>50000</v>
      </c>
      <c r="H58" s="119">
        <v>553400</v>
      </c>
      <c r="I58" s="119">
        <v>5000</v>
      </c>
      <c r="J58" s="119">
        <v>470000</v>
      </c>
      <c r="K58" s="119">
        <v>0</v>
      </c>
      <c r="L58" s="119">
        <v>40000</v>
      </c>
      <c r="M58" s="119"/>
      <c r="N58" s="119">
        <v>120000</v>
      </c>
      <c r="O58" s="119">
        <v>160000</v>
      </c>
      <c r="P58" s="113">
        <f>270000-1000</f>
        <v>269000</v>
      </c>
      <c r="Q58" s="119"/>
      <c r="R58" s="113">
        <f>SUM(C58:P58)</f>
        <v>2581400</v>
      </c>
    </row>
    <row r="59" spans="1:18" ht="14.25">
      <c r="A59" s="137" t="s">
        <v>311</v>
      </c>
      <c r="B59" s="119"/>
      <c r="C59" s="119">
        <f>40000-3900</f>
        <v>36100</v>
      </c>
      <c r="D59" s="119"/>
      <c r="E59" s="119">
        <v>30000</v>
      </c>
      <c r="F59" s="119"/>
      <c r="G59" s="119">
        <f>15000-1200</f>
        <v>13800</v>
      </c>
      <c r="H59" s="119"/>
      <c r="I59" s="119">
        <v>10000</v>
      </c>
      <c r="J59" s="119"/>
      <c r="K59" s="119"/>
      <c r="L59" s="119">
        <v>20000</v>
      </c>
      <c r="M59" s="119"/>
      <c r="N59" s="119"/>
      <c r="O59" s="119"/>
      <c r="P59" s="113"/>
      <c r="Q59" s="119"/>
      <c r="R59" s="113">
        <f>SUM(C59:Q59)</f>
        <v>109900</v>
      </c>
    </row>
    <row r="60" spans="1:18" ht="15" thickBot="1">
      <c r="A60" s="133" t="s">
        <v>38</v>
      </c>
      <c r="B60" s="136"/>
      <c r="C60" s="123">
        <f>SUM(C56:C59)</f>
        <v>1150348</v>
      </c>
      <c r="D60" s="136">
        <f>SUM(D58:D59)</f>
        <v>50000</v>
      </c>
      <c r="E60" s="136">
        <f>SUM(E56:E59)</f>
        <v>115400</v>
      </c>
      <c r="F60" s="136">
        <f>SUM(F58)</f>
        <v>240000</v>
      </c>
      <c r="G60" s="136">
        <f>SUM(G56:G59)</f>
        <v>133800</v>
      </c>
      <c r="H60" s="136">
        <f>SUM(H56:H59)</f>
        <v>553400</v>
      </c>
      <c r="I60" s="136">
        <f>SUM(I56:I59)</f>
        <v>35000</v>
      </c>
      <c r="J60" s="136">
        <f>SUM(J58)</f>
        <v>470000</v>
      </c>
      <c r="K60" s="136">
        <f>SUM(K56:K59)</f>
        <v>0</v>
      </c>
      <c r="L60" s="136">
        <f>SUM(L56:L59)</f>
        <v>145000</v>
      </c>
      <c r="M60" s="136">
        <f>SUM(M56:M59)</f>
        <v>300000</v>
      </c>
      <c r="N60" s="136">
        <f>SUM(N58)</f>
        <v>120000</v>
      </c>
      <c r="O60" s="136">
        <f>SUM(O58)</f>
        <v>160000</v>
      </c>
      <c r="P60" s="136">
        <f>SUM(P56:P59)</f>
        <v>269000</v>
      </c>
      <c r="Q60" s="136"/>
      <c r="R60" s="116">
        <f>SUM(C60:P60)</f>
        <v>3741948</v>
      </c>
    </row>
    <row r="61" spans="1:18" ht="15" thickTop="1">
      <c r="A61" s="137" t="s">
        <v>312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313</v>
      </c>
      <c r="B62" s="125"/>
      <c r="C62" s="125"/>
      <c r="D62" s="125"/>
      <c r="E62" s="125">
        <f>100000-26482</f>
        <v>73518</v>
      </c>
      <c r="F62" s="125"/>
      <c r="G62" s="125">
        <v>20000</v>
      </c>
      <c r="H62" s="125"/>
      <c r="I62" s="125"/>
      <c r="J62" s="125"/>
      <c r="K62" s="125"/>
      <c r="L62" s="125"/>
      <c r="M62" s="125"/>
      <c r="N62" s="125"/>
      <c r="O62" s="125"/>
      <c r="P62" s="126"/>
      <c r="Q62" s="125"/>
      <c r="R62" s="126">
        <f>SUM(C62:P62)</f>
        <v>93518</v>
      </c>
    </row>
    <row r="63" spans="1:18" ht="14.25">
      <c r="A63" s="133" t="s">
        <v>314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0</v>
      </c>
      <c r="M63" s="119">
        <v>35000</v>
      </c>
      <c r="N63" s="119"/>
      <c r="O63" s="119"/>
      <c r="P63" s="113"/>
      <c r="Q63" s="119"/>
      <c r="R63" s="113">
        <f>SUM(C63:Q63)</f>
        <v>35000</v>
      </c>
    </row>
    <row r="64" spans="1:18" ht="14.25">
      <c r="A64" s="137" t="s">
        <v>315</v>
      </c>
      <c r="B64" s="119"/>
      <c r="C64" s="119"/>
      <c r="D64" s="119"/>
      <c r="E64" s="119">
        <v>25000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9"/>
      <c r="P64" s="113"/>
      <c r="Q64" s="119"/>
      <c r="R64" s="113">
        <f>SUM(C64:P64)</f>
        <v>45000</v>
      </c>
    </row>
    <row r="65" spans="1:18" ht="14.25">
      <c r="A65" s="137" t="s">
        <v>316</v>
      </c>
      <c r="B65" s="119"/>
      <c r="C65" s="119"/>
      <c r="D65" s="119"/>
      <c r="E65" s="119"/>
      <c r="F65" s="119"/>
      <c r="G65" s="119">
        <v>0</v>
      </c>
      <c r="H65" s="119">
        <v>1081920</v>
      </c>
      <c r="I65" s="119"/>
      <c r="J65" s="119"/>
      <c r="K65" s="119"/>
      <c r="L65" s="119"/>
      <c r="M65" s="119"/>
      <c r="N65" s="119"/>
      <c r="O65" s="119"/>
      <c r="P65" s="113"/>
      <c r="Q65" s="119"/>
      <c r="R65" s="113">
        <f>SUM(B65:Q65)</f>
        <v>1081920</v>
      </c>
    </row>
    <row r="66" spans="1:18" ht="14.25">
      <c r="A66" s="137" t="s">
        <v>317</v>
      </c>
      <c r="B66" s="119"/>
      <c r="C66" s="119"/>
      <c r="D66" s="119"/>
      <c r="E66" s="119"/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9"/>
      <c r="P66" s="113"/>
      <c r="Q66" s="119"/>
      <c r="R66" s="113">
        <f>SUM(B66:Q66)</f>
        <v>0</v>
      </c>
    </row>
    <row r="67" spans="1:18" ht="14.25">
      <c r="A67" s="137" t="s">
        <v>318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v>20000</v>
      </c>
      <c r="M67" s="119"/>
      <c r="N67" s="119"/>
      <c r="O67" s="119"/>
      <c r="P67" s="113"/>
      <c r="Q67" s="119"/>
      <c r="R67" s="113">
        <f>SUM(B67:Q67)</f>
        <v>20000</v>
      </c>
    </row>
    <row r="68" spans="1:18" ht="14.25">
      <c r="A68" s="137" t="s">
        <v>319</v>
      </c>
      <c r="B68" s="119"/>
      <c r="C68" s="119">
        <v>60000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3"/>
      <c r="Q68" s="119"/>
      <c r="R68" s="113">
        <f>SUM(B68:Q68)</f>
        <v>60000</v>
      </c>
    </row>
    <row r="69" spans="1:18" ht="14.25">
      <c r="A69" s="137" t="s">
        <v>320</v>
      </c>
      <c r="B69" s="119"/>
      <c r="C69" s="119">
        <v>150000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3"/>
      <c r="Q69" s="119"/>
      <c r="R69" s="113">
        <f>SUM(B69:Q69)</f>
        <v>150000</v>
      </c>
    </row>
    <row r="70" spans="1:18" ht="14.25">
      <c r="A70" s="137" t="s">
        <v>351</v>
      </c>
      <c r="B70" s="119"/>
      <c r="C70" s="119"/>
      <c r="D70" s="119"/>
      <c r="E70" s="119"/>
      <c r="F70" s="119"/>
      <c r="G70" s="119"/>
      <c r="H70" s="119">
        <v>0</v>
      </c>
      <c r="I70" s="119">
        <v>20000</v>
      </c>
      <c r="J70" s="119"/>
      <c r="K70" s="119"/>
      <c r="L70" s="119"/>
      <c r="M70" s="119"/>
      <c r="N70" s="119"/>
      <c r="O70" s="119"/>
      <c r="P70" s="113"/>
      <c r="Q70" s="119"/>
      <c r="R70" s="113">
        <f>SUM(B70:Q70)</f>
        <v>20000</v>
      </c>
    </row>
    <row r="71" spans="1:18" ht="14.25">
      <c r="A71" s="137" t="s">
        <v>321</v>
      </c>
      <c r="B71" s="119"/>
      <c r="C71" s="119">
        <v>10000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3"/>
      <c r="Q71" s="119"/>
      <c r="R71" s="113">
        <f>SUM(B71:Q71)</f>
        <v>10000</v>
      </c>
    </row>
    <row r="72" spans="1:18" ht="14.25">
      <c r="A72" s="137" t="s">
        <v>352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0</v>
      </c>
      <c r="O72" s="119">
        <v>0</v>
      </c>
      <c r="P72" s="113"/>
      <c r="Q72" s="119"/>
      <c r="R72" s="113">
        <v>0</v>
      </c>
    </row>
    <row r="73" spans="1:18" ht="14.25">
      <c r="A73" s="137" t="s">
        <v>322</v>
      </c>
      <c r="B73" s="119"/>
      <c r="C73" s="119">
        <v>80000</v>
      </c>
      <c r="D73" s="119"/>
      <c r="E73" s="119">
        <f>100000-38200</f>
        <v>61800</v>
      </c>
      <c r="F73" s="119"/>
      <c r="G73" s="119">
        <v>25000</v>
      </c>
      <c r="H73" s="119"/>
      <c r="I73" s="119"/>
      <c r="J73" s="119"/>
      <c r="K73" s="119"/>
      <c r="L73" s="119">
        <f>30000-900</f>
        <v>29100</v>
      </c>
      <c r="M73" s="119"/>
      <c r="N73" s="119"/>
      <c r="O73" s="119"/>
      <c r="P73" s="113"/>
      <c r="Q73" s="119"/>
      <c r="R73" s="113">
        <f>SUM(B73:Q73)</f>
        <v>195900</v>
      </c>
    </row>
    <row r="74" spans="1:18" ht="14.25">
      <c r="A74" s="137" t="s">
        <v>323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9"/>
      <c r="P74" s="113"/>
      <c r="Q74" s="119"/>
      <c r="R74" s="113">
        <f>SUM(B74:Q74)</f>
        <v>20000</v>
      </c>
    </row>
    <row r="75" spans="1:18" ht="14.25">
      <c r="A75" s="137" t="s">
        <v>324</v>
      </c>
      <c r="B75" s="119"/>
      <c r="C75" s="119"/>
      <c r="D75" s="119"/>
      <c r="E75" s="119"/>
      <c r="F75" s="119"/>
      <c r="G75" s="119"/>
      <c r="H75" s="119">
        <v>5000</v>
      </c>
      <c r="I75" s="119"/>
      <c r="J75" s="119"/>
      <c r="K75" s="119"/>
      <c r="L75" s="119"/>
      <c r="M75" s="119"/>
      <c r="N75" s="119"/>
      <c r="O75" s="119"/>
      <c r="P75" s="113"/>
      <c r="Q75" s="119"/>
      <c r="R75" s="113">
        <f>SUM(B75:Q75)</f>
        <v>5000</v>
      </c>
    </row>
    <row r="76" spans="1:18" ht="15" thickBot="1">
      <c r="A76" s="133" t="s">
        <v>38</v>
      </c>
      <c r="B76" s="136"/>
      <c r="C76" s="123">
        <f>SUM(C62:C75)</f>
        <v>300000</v>
      </c>
      <c r="D76" s="136">
        <v>0</v>
      </c>
      <c r="E76" s="136">
        <f>SUM(E62:E75)</f>
        <v>160318</v>
      </c>
      <c r="F76" s="136">
        <v>0</v>
      </c>
      <c r="G76" s="136">
        <f>SUM(G62:G75)</f>
        <v>65000</v>
      </c>
      <c r="H76" s="136">
        <f>SUM(H62:H75)</f>
        <v>1106920</v>
      </c>
      <c r="I76" s="136">
        <f>SUM(I62:I75)</f>
        <v>20000</v>
      </c>
      <c r="J76" s="136">
        <v>0</v>
      </c>
      <c r="K76" s="136">
        <v>0</v>
      </c>
      <c r="L76" s="136">
        <f>SUM(L63:L75)</f>
        <v>49100</v>
      </c>
      <c r="M76" s="136">
        <f>SUM(M63)</f>
        <v>35000</v>
      </c>
      <c r="N76" s="136">
        <f>SUM(N62:N75)</f>
        <v>0</v>
      </c>
      <c r="O76" s="136">
        <f>SUM(O62:O75)</f>
        <v>0</v>
      </c>
      <c r="P76" s="136">
        <v>0</v>
      </c>
      <c r="Q76" s="136"/>
      <c r="R76" s="116">
        <f>SUM(R62:R75)</f>
        <v>1736338</v>
      </c>
    </row>
    <row r="77" spans="1:18" ht="15" thickTop="1">
      <c r="A77" s="250"/>
      <c r="B77" s="251"/>
      <c r="C77" s="249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49"/>
    </row>
    <row r="78" spans="1:18" ht="14.25">
      <c r="A78" s="250"/>
      <c r="B78" s="251"/>
      <c r="C78" s="249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49"/>
    </row>
    <row r="79" spans="1:18" ht="14.25">
      <c r="A79" s="250"/>
      <c r="B79" s="251"/>
      <c r="C79" s="249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49"/>
    </row>
    <row r="82" spans="1:18" s="107" customFormat="1" ht="13.5" customHeight="1">
      <c r="A82" s="108" t="s">
        <v>124</v>
      </c>
      <c r="B82" s="322" t="s">
        <v>100</v>
      </c>
      <c r="C82" s="325" t="s">
        <v>101</v>
      </c>
      <c r="D82" s="325"/>
      <c r="E82" s="325"/>
      <c r="F82" s="130" t="s">
        <v>102</v>
      </c>
      <c r="G82" s="325" t="s">
        <v>103</v>
      </c>
      <c r="H82" s="325"/>
      <c r="I82" s="325" t="s">
        <v>104</v>
      </c>
      <c r="J82" s="325"/>
      <c r="K82" s="130" t="s">
        <v>105</v>
      </c>
      <c r="L82" s="325" t="s">
        <v>106</v>
      </c>
      <c r="M82" s="325"/>
      <c r="N82" s="130" t="s">
        <v>511</v>
      </c>
      <c r="O82" s="325" t="s">
        <v>107</v>
      </c>
      <c r="P82" s="325"/>
      <c r="Q82" s="268"/>
      <c r="R82" s="323" t="s">
        <v>20</v>
      </c>
    </row>
    <row r="83" spans="1:18" s="107" customFormat="1" ht="13.5" customHeight="1">
      <c r="A83" s="109" t="s">
        <v>125</v>
      </c>
      <c r="B83" s="322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510</v>
      </c>
      <c r="O83" s="130" t="s">
        <v>117</v>
      </c>
      <c r="P83" s="130" t="s">
        <v>118</v>
      </c>
      <c r="Q83" s="245" t="s">
        <v>123</v>
      </c>
      <c r="R83" s="324"/>
    </row>
    <row r="84" spans="1:18" ht="13.5" customHeight="1">
      <c r="A84" s="135" t="s">
        <v>325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326</v>
      </c>
      <c r="B85" s="110"/>
      <c r="C85" s="110">
        <f>150000-9532.29</f>
        <v>140467.71</v>
      </c>
      <c r="D85" s="110"/>
      <c r="E85" s="110"/>
      <c r="F85" s="110"/>
      <c r="G85" s="110">
        <f>30000-2366.72</f>
        <v>27633.28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168100.99</v>
      </c>
    </row>
    <row r="86" spans="1:18" ht="13.5" customHeight="1">
      <c r="A86" s="133" t="s">
        <v>327</v>
      </c>
      <c r="B86" s="113"/>
      <c r="C86" s="113">
        <v>6000</v>
      </c>
      <c r="D86" s="113"/>
      <c r="E86" s="113"/>
      <c r="F86" s="113"/>
      <c r="G86" s="113">
        <v>5000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11000</v>
      </c>
    </row>
    <row r="87" spans="1:18" ht="13.5" customHeight="1">
      <c r="A87" s="133" t="s">
        <v>328</v>
      </c>
      <c r="B87" s="113"/>
      <c r="C87" s="113">
        <f>20000-1089.26</f>
        <v>18910.74</v>
      </c>
      <c r="D87" s="113"/>
      <c r="E87" s="113"/>
      <c r="F87" s="113"/>
      <c r="G87" s="113">
        <f>10000-438.7</f>
        <v>9561.3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28472.04</v>
      </c>
    </row>
    <row r="88" spans="1:18" ht="13.5" customHeight="1">
      <c r="A88" s="132" t="s">
        <v>329</v>
      </c>
      <c r="B88" s="113"/>
      <c r="C88" s="113">
        <v>20000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20000</v>
      </c>
    </row>
    <row r="89" spans="1:18" ht="13.5" customHeight="1">
      <c r="A89" s="133" t="s">
        <v>330</v>
      </c>
      <c r="B89" s="114"/>
      <c r="C89" s="114">
        <f>90000-5339.3</f>
        <v>84660.7</v>
      </c>
      <c r="D89" s="114"/>
      <c r="E89" s="114"/>
      <c r="F89" s="114"/>
      <c r="G89" s="114">
        <f>25000-1701.3</f>
        <v>23298.7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107959.4</v>
      </c>
    </row>
    <row r="90" spans="1:18" ht="13.5" customHeight="1" thickBot="1">
      <c r="A90" s="133" t="s">
        <v>38</v>
      </c>
      <c r="B90" s="103"/>
      <c r="C90" s="103">
        <f>SUM(C85:C89)</f>
        <v>270039.14999999997</v>
      </c>
      <c r="D90" s="103">
        <v>0</v>
      </c>
      <c r="E90" s="103">
        <v>0</v>
      </c>
      <c r="F90" s="103">
        <v>0</v>
      </c>
      <c r="G90" s="103">
        <f>SUM(G84:G89)</f>
        <v>65493.28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335532.42999999993</v>
      </c>
    </row>
    <row r="91" spans="1:18" ht="13.5" customHeight="1" thickTop="1">
      <c r="A91" s="135" t="s">
        <v>331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7"/>
      <c r="P91" s="118"/>
      <c r="Q91" s="117"/>
      <c r="R91" s="118"/>
    </row>
    <row r="92" spans="1:18" ht="13.5" customHeight="1">
      <c r="A92" s="133" t="s">
        <v>332</v>
      </c>
      <c r="B92" s="119"/>
      <c r="C92" s="119">
        <v>9900</v>
      </c>
      <c r="D92" s="119"/>
      <c r="E92" s="119"/>
      <c r="F92" s="119"/>
      <c r="G92" s="119">
        <f>20000</f>
        <v>20000</v>
      </c>
      <c r="H92" s="119"/>
      <c r="I92" s="119"/>
      <c r="J92" s="125"/>
      <c r="K92" s="119"/>
      <c r="L92" s="119">
        <v>24000</v>
      </c>
      <c r="M92" s="119"/>
      <c r="N92" s="119"/>
      <c r="O92" s="119"/>
      <c r="P92" s="113"/>
      <c r="Q92" s="119"/>
      <c r="R92" s="113">
        <f>SUM(C92:Q92)</f>
        <v>53900</v>
      </c>
    </row>
    <row r="93" spans="1:18" ht="13.5" customHeight="1">
      <c r="A93" s="133" t="s">
        <v>333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39000</v>
      </c>
      <c r="M93" s="119"/>
      <c r="N93" s="119"/>
      <c r="O93" s="119"/>
      <c r="P93" s="113"/>
      <c r="Q93" s="119"/>
      <c r="R93" s="113">
        <f>SUM(C93:Q93)</f>
        <v>39000</v>
      </c>
    </row>
    <row r="94" spans="1:18" ht="13.5" customHeight="1">
      <c r="A94" s="239" t="s">
        <v>334</v>
      </c>
      <c r="B94" s="119"/>
      <c r="C94" s="119"/>
      <c r="D94" s="119"/>
      <c r="E94" s="119"/>
      <c r="F94" s="119"/>
      <c r="G94" s="119">
        <v>0</v>
      </c>
      <c r="H94" s="119"/>
      <c r="I94" s="119"/>
      <c r="J94" s="119"/>
      <c r="K94" s="119"/>
      <c r="L94" s="119"/>
      <c r="M94" s="119"/>
      <c r="N94" s="119"/>
      <c r="O94" s="119"/>
      <c r="P94" s="113"/>
      <c r="Q94" s="119"/>
      <c r="R94" s="240">
        <f>SUM(C94:Q94)</f>
        <v>0</v>
      </c>
    </row>
    <row r="95" spans="1:18" ht="13.5" customHeight="1">
      <c r="A95" s="235" t="s">
        <v>335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9"/>
      <c r="P95" s="113"/>
      <c r="Q95" s="119"/>
      <c r="R95" s="119">
        <f>SUM(C95:Q95)</f>
        <v>10000</v>
      </c>
    </row>
    <row r="96" spans="1:18" ht="13.5" customHeight="1">
      <c r="A96" s="239" t="s">
        <v>336</v>
      </c>
      <c r="B96" s="119"/>
      <c r="C96" s="119"/>
      <c r="D96" s="119"/>
      <c r="E96" s="119"/>
      <c r="F96" s="119"/>
      <c r="G96" s="119">
        <v>20000</v>
      </c>
      <c r="H96" s="119"/>
      <c r="I96" s="119"/>
      <c r="J96" s="119"/>
      <c r="K96" s="119"/>
      <c r="L96" s="119"/>
      <c r="M96" s="119"/>
      <c r="N96" s="119"/>
      <c r="O96" s="119"/>
      <c r="P96" s="113"/>
      <c r="Q96" s="119"/>
      <c r="R96" s="240">
        <f>SUM(C96:Q96)</f>
        <v>20000</v>
      </c>
    </row>
    <row r="97" spans="1:18" ht="13.5" customHeight="1">
      <c r="A97" s="241" t="s">
        <v>337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5"/>
      <c r="P97" s="126"/>
      <c r="Q97" s="125"/>
      <c r="R97" s="242">
        <f>SUM(C97:Q97)</f>
        <v>5000</v>
      </c>
    </row>
    <row r="98" spans="1:18" ht="13.5" customHeight="1">
      <c r="A98" s="239" t="s">
        <v>338</v>
      </c>
      <c r="B98" s="119"/>
      <c r="C98" s="119"/>
      <c r="D98" s="119"/>
      <c r="E98" s="119"/>
      <c r="F98" s="119"/>
      <c r="G98" s="119">
        <v>0</v>
      </c>
      <c r="H98" s="119"/>
      <c r="I98" s="119"/>
      <c r="J98" s="119"/>
      <c r="K98" s="119"/>
      <c r="L98" s="119"/>
      <c r="M98" s="119"/>
      <c r="N98" s="119"/>
      <c r="O98" s="119"/>
      <c r="P98" s="113"/>
      <c r="Q98" s="119"/>
      <c r="R98" s="240">
        <f>SUM(C98:Q98)</f>
        <v>0</v>
      </c>
    </row>
    <row r="99" spans="1:18" ht="13.5" customHeight="1">
      <c r="A99" s="132" t="s">
        <v>339</v>
      </c>
      <c r="B99" s="120"/>
      <c r="C99" s="120">
        <v>40000</v>
      </c>
      <c r="D99" s="120"/>
      <c r="E99" s="120"/>
      <c r="F99" s="120"/>
      <c r="G99" s="120">
        <f>50000-35000</f>
        <v>15000</v>
      </c>
      <c r="H99" s="196"/>
      <c r="I99" s="120"/>
      <c r="J99" s="120"/>
      <c r="K99" s="120"/>
      <c r="L99" s="120">
        <v>20000</v>
      </c>
      <c r="M99" s="120"/>
      <c r="N99" s="120"/>
      <c r="O99" s="120"/>
      <c r="P99" s="110"/>
      <c r="Q99" s="120"/>
      <c r="R99" s="252">
        <f>SUM(C99:Q99)</f>
        <v>75000</v>
      </c>
    </row>
    <row r="100" spans="1:18" ht="13.5" customHeight="1" thickBot="1">
      <c r="A100" s="133" t="s">
        <v>38</v>
      </c>
      <c r="B100" s="136"/>
      <c r="C100" s="136">
        <f>SUM(C92:C99)</f>
        <v>49900</v>
      </c>
      <c r="D100" s="136">
        <v>0</v>
      </c>
      <c r="E100" s="136">
        <v>0</v>
      </c>
      <c r="F100" s="136">
        <v>0</v>
      </c>
      <c r="G100" s="136">
        <f>SUM(G92:G99)</f>
        <v>60000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83000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3">
        <f>SUM(R92:R99)</f>
        <v>202900</v>
      </c>
    </row>
    <row r="101" spans="1:18" ht="13.5" customHeight="1" thickTop="1">
      <c r="A101" s="137" t="s">
        <v>340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341</v>
      </c>
      <c r="B102" s="125"/>
      <c r="C102" s="125"/>
      <c r="D102" s="125"/>
      <c r="E102" s="125"/>
      <c r="F102" s="125"/>
      <c r="G102" s="125"/>
      <c r="H102" s="125">
        <v>0</v>
      </c>
      <c r="I102" s="125"/>
      <c r="J102" s="125"/>
      <c r="K102" s="125"/>
      <c r="L102" s="125"/>
      <c r="M102" s="125"/>
      <c r="N102" s="125"/>
      <c r="O102" s="125"/>
      <c r="P102" s="126"/>
      <c r="Q102" s="125"/>
      <c r="R102" s="126">
        <f>SUM(H102:Q102)</f>
        <v>0</v>
      </c>
    </row>
    <row r="103" spans="1:18" ht="13.5" customHeight="1">
      <c r="A103" s="137" t="s">
        <v>342</v>
      </c>
      <c r="B103" s="125"/>
      <c r="C103" s="125"/>
      <c r="D103" s="125"/>
      <c r="E103" s="113"/>
      <c r="F103" s="125"/>
      <c r="G103" s="125"/>
      <c r="H103" s="125">
        <v>95000</v>
      </c>
      <c r="I103" s="125"/>
      <c r="J103" s="125"/>
      <c r="K103" s="125"/>
      <c r="L103" s="125"/>
      <c r="M103" s="125"/>
      <c r="N103" s="125"/>
      <c r="O103" s="125"/>
      <c r="P103" s="126"/>
      <c r="Q103" s="125"/>
      <c r="R103" s="126">
        <f>SUM(H103:Q103)</f>
        <v>95000</v>
      </c>
    </row>
    <row r="104" spans="1:18" ht="13.5" customHeight="1">
      <c r="A104" s="137" t="s">
        <v>343</v>
      </c>
      <c r="B104" s="125"/>
      <c r="C104" s="125"/>
      <c r="D104" s="125"/>
      <c r="E104" s="110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6"/>
      <c r="Q104" s="125">
        <v>2276977</v>
      </c>
      <c r="R104" s="126">
        <f>SUM(Q104)</f>
        <v>2276977</v>
      </c>
    </row>
    <row r="105" spans="1:18" ht="13.5" customHeight="1">
      <c r="A105" s="133" t="s">
        <v>508</v>
      </c>
      <c r="B105" s="119"/>
      <c r="C105" s="119"/>
      <c r="D105" s="119"/>
      <c r="E105" s="234"/>
      <c r="F105" s="119"/>
      <c r="G105" s="119"/>
      <c r="H105" s="119">
        <v>10000</v>
      </c>
      <c r="I105" s="119"/>
      <c r="J105" s="119"/>
      <c r="K105" s="119"/>
      <c r="L105" s="119"/>
      <c r="M105" s="119"/>
      <c r="N105" s="119"/>
      <c r="O105" s="119"/>
      <c r="P105" s="113"/>
      <c r="Q105" s="119">
        <v>0</v>
      </c>
      <c r="R105" s="113">
        <f>SUM(C105:Q105)</f>
        <v>10000</v>
      </c>
    </row>
    <row r="106" spans="1:18" ht="13.5" customHeight="1" thickBot="1">
      <c r="A106" s="133" t="s">
        <v>38</v>
      </c>
      <c r="B106" s="136"/>
      <c r="C106" s="136">
        <f>SUM(C103:C105)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SUM(H102:H105)</f>
        <v>105000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SUM(Q102:Q105)</f>
        <v>2276977</v>
      </c>
      <c r="R106" s="253">
        <f>SUM(R102:R105)</f>
        <v>2381977</v>
      </c>
    </row>
    <row r="107" spans="1:18" ht="13.5" customHeight="1" thickTop="1">
      <c r="A107" s="137" t="s">
        <v>344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5"/>
      <c r="P107" s="126"/>
      <c r="Q107" s="125"/>
      <c r="R107" s="126"/>
    </row>
    <row r="108" spans="1:18" ht="13.5" customHeight="1">
      <c r="A108" s="137" t="s">
        <v>345</v>
      </c>
      <c r="B108" s="113"/>
      <c r="C108" s="119">
        <v>11000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3"/>
      <c r="Q108" s="119"/>
      <c r="R108" s="113">
        <f>SUM(C108:Q108)</f>
        <v>11000</v>
      </c>
    </row>
    <row r="109" spans="1:18" ht="13.5" customHeight="1">
      <c r="A109" s="137" t="s">
        <v>346</v>
      </c>
      <c r="B109" s="120"/>
      <c r="C109" s="119">
        <v>50000</v>
      </c>
      <c r="D109" s="119"/>
      <c r="E109" s="119"/>
      <c r="F109" s="119"/>
      <c r="G109" s="119"/>
      <c r="H109" s="119">
        <v>2031000</v>
      </c>
      <c r="I109" s="119"/>
      <c r="J109" s="119"/>
      <c r="K109" s="119"/>
      <c r="L109" s="119"/>
      <c r="M109" s="119"/>
      <c r="N109" s="119"/>
      <c r="O109" s="119"/>
      <c r="P109" s="119">
        <v>0</v>
      </c>
      <c r="Q109" s="113"/>
      <c r="R109" s="113">
        <f>SUM(C109:P109)</f>
        <v>2081000</v>
      </c>
    </row>
    <row r="110" spans="1:18" ht="13.5" customHeight="1">
      <c r="A110" s="137" t="s">
        <v>509</v>
      </c>
      <c r="B110" s="120"/>
      <c r="C110" s="119"/>
      <c r="D110" s="119"/>
      <c r="E110" s="119"/>
      <c r="F110" s="119"/>
      <c r="G110" s="119"/>
      <c r="H110" s="119"/>
      <c r="I110" s="119">
        <v>180000</v>
      </c>
      <c r="J110" s="119"/>
      <c r="K110" s="119"/>
      <c r="L110" s="119"/>
      <c r="M110" s="119"/>
      <c r="N110" s="119"/>
      <c r="O110" s="119"/>
      <c r="P110" s="119"/>
      <c r="Q110" s="113"/>
      <c r="R110" s="113">
        <f>SUM(I110)</f>
        <v>180000</v>
      </c>
    </row>
    <row r="111" spans="1:18" ht="13.5" customHeight="1">
      <c r="A111" s="133" t="s">
        <v>347</v>
      </c>
      <c r="B111" s="119"/>
      <c r="C111" s="119">
        <v>20000</v>
      </c>
      <c r="D111" s="119"/>
      <c r="E111" s="119"/>
      <c r="F111" s="119"/>
      <c r="G111" s="119"/>
      <c r="H111" s="119"/>
      <c r="I111" s="119">
        <v>0</v>
      </c>
      <c r="J111" s="119"/>
      <c r="K111" s="119"/>
      <c r="L111" s="119"/>
      <c r="M111" s="119"/>
      <c r="N111" s="119"/>
      <c r="O111" s="119"/>
      <c r="P111" s="119"/>
      <c r="Q111" s="113"/>
      <c r="R111" s="113">
        <f>SUM(C111:P111)</f>
        <v>20000</v>
      </c>
    </row>
    <row r="112" spans="1:18" ht="13.5" customHeight="1" thickBot="1">
      <c r="A112" s="133" t="s">
        <v>38</v>
      </c>
      <c r="B112" s="136"/>
      <c r="C112" s="136">
        <f>SUM(C108:C111)</f>
        <v>81000</v>
      </c>
      <c r="D112" s="136">
        <v>0</v>
      </c>
      <c r="E112" s="136">
        <v>0</v>
      </c>
      <c r="F112" s="136">
        <v>0</v>
      </c>
      <c r="G112" s="136">
        <v>0</v>
      </c>
      <c r="H112" s="136">
        <f>SUM(H109)</f>
        <v>2031000</v>
      </c>
      <c r="I112" s="136">
        <f>SUM(I110:I111)</f>
        <v>180000</v>
      </c>
      <c r="J112" s="136">
        <v>0</v>
      </c>
      <c r="K112" s="136">
        <v>0</v>
      </c>
      <c r="L112" s="136">
        <v>0</v>
      </c>
      <c r="M112" s="136">
        <f>SUM(M107:M111)</f>
        <v>0</v>
      </c>
      <c r="N112" s="136">
        <f>SUM(N109:N111)</f>
        <v>0</v>
      </c>
      <c r="O112" s="136">
        <f>SUM(O109:O111)</f>
        <v>0</v>
      </c>
      <c r="P112" s="136">
        <f>SUM(P109:P111)</f>
        <v>0</v>
      </c>
      <c r="Q112" s="136"/>
      <c r="R112" s="253">
        <f>SUM(C112:P112)</f>
        <v>2292000</v>
      </c>
    </row>
    <row r="113" spans="1:18" ht="13.5" customHeight="1" thickTop="1">
      <c r="A113" s="137" t="s">
        <v>348</v>
      </c>
      <c r="B113" s="120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5"/>
      <c r="R113" s="126"/>
    </row>
    <row r="114" spans="1:18" ht="13.5" customHeight="1">
      <c r="A114" s="137" t="s">
        <v>349</v>
      </c>
      <c r="B114" s="121"/>
      <c r="C114" s="120"/>
      <c r="D114" s="120">
        <v>0</v>
      </c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10"/>
      <c r="Q114" s="120"/>
      <c r="R114" s="110">
        <f>SUM(B114:P114)</f>
        <v>0</v>
      </c>
    </row>
    <row r="115" spans="1:18" ht="13.5" customHeight="1" thickBot="1">
      <c r="A115" s="133" t="s">
        <v>38</v>
      </c>
      <c r="B115" s="136">
        <v>0</v>
      </c>
      <c r="C115" s="136">
        <v>0</v>
      </c>
      <c r="D115" s="253">
        <f>SUM(D114)</f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/>
      <c r="R115" s="253">
        <f>SUM(B115:P115)</f>
        <v>0</v>
      </c>
    </row>
    <row r="116" spans="1:18" ht="13.5" customHeight="1" thickBot="1" thickTop="1">
      <c r="A116" s="134" t="s">
        <v>39</v>
      </c>
      <c r="B116" s="246">
        <f>SUM(B13)</f>
        <v>419029</v>
      </c>
      <c r="C116" s="247">
        <f>SUM(C13+C21+C26+C30+C47+C54+C60+C76+C90+C100+C112)</f>
        <v>7683787.15</v>
      </c>
      <c r="D116" s="247">
        <f>SUM(D13+D21+D26+D30+D47+D54+D60+D76+D90+D100+D106+D112+D115)</f>
        <v>50000</v>
      </c>
      <c r="E116" s="247">
        <f aca="true" t="shared" si="0" ref="E116:Q116">SUM(E13+E21+E26+E30+E47+E54+E60+E76+E90+E100+E106+E112)</f>
        <v>2366143</v>
      </c>
      <c r="F116" s="247">
        <f t="shared" si="0"/>
        <v>240000</v>
      </c>
      <c r="G116" s="247">
        <f t="shared" si="0"/>
        <v>1410333.28</v>
      </c>
      <c r="H116" s="247">
        <f t="shared" si="0"/>
        <v>3806320</v>
      </c>
      <c r="I116" s="247">
        <f t="shared" si="0"/>
        <v>364000</v>
      </c>
      <c r="J116" s="247">
        <f t="shared" si="0"/>
        <v>470000</v>
      </c>
      <c r="K116" s="247">
        <f t="shared" si="0"/>
        <v>0</v>
      </c>
      <c r="L116" s="247">
        <f t="shared" si="0"/>
        <v>1405830</v>
      </c>
      <c r="M116" s="247">
        <f t="shared" si="0"/>
        <v>335000</v>
      </c>
      <c r="N116" s="247">
        <f>SUM(N13+N21+N26+N30+N47+N54+N60+N76+N90+N100+N106+N112)</f>
        <v>120000</v>
      </c>
      <c r="O116" s="247">
        <f t="shared" si="0"/>
        <v>160000</v>
      </c>
      <c r="P116" s="247">
        <f t="shared" si="0"/>
        <v>269000</v>
      </c>
      <c r="Q116" s="247">
        <f t="shared" si="0"/>
        <v>2276977</v>
      </c>
      <c r="R116" s="246">
        <f>SUM(B116:Q116)</f>
        <v>21376419.43</v>
      </c>
    </row>
    <row r="117" ht="15" thickTop="1"/>
  </sheetData>
  <sheetProtection/>
  <mergeCells count="24">
    <mergeCell ref="A1:R1"/>
    <mergeCell ref="A2:R2"/>
    <mergeCell ref="A3:R3"/>
    <mergeCell ref="B5:B6"/>
    <mergeCell ref="C5:E5"/>
    <mergeCell ref="G5:H5"/>
    <mergeCell ref="I5:J5"/>
    <mergeCell ref="L5:M5"/>
    <mergeCell ref="O5:P5"/>
    <mergeCell ref="R5:R6"/>
    <mergeCell ref="B42:B43"/>
    <mergeCell ref="C42:E42"/>
    <mergeCell ref="G42:H42"/>
    <mergeCell ref="I42:J42"/>
    <mergeCell ref="L42:M42"/>
    <mergeCell ref="O42:P42"/>
    <mergeCell ref="R42:R43"/>
    <mergeCell ref="R82:R83"/>
    <mergeCell ref="B82:B83"/>
    <mergeCell ref="C82:E82"/>
    <mergeCell ref="G82:H82"/>
    <mergeCell ref="I82:J82"/>
    <mergeCell ref="L82:M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6" customWidth="1"/>
    <col min="4" max="4" width="45.8515625" style="58" customWidth="1"/>
    <col min="5" max="5" width="15.8515625" style="227" customWidth="1"/>
    <col min="6" max="16384" width="9.140625" style="58" customWidth="1"/>
  </cols>
  <sheetData>
    <row r="1" spans="1:5" ht="21">
      <c r="A1" s="274" t="s">
        <v>436</v>
      </c>
      <c r="B1" s="274"/>
      <c r="C1" s="274"/>
      <c r="D1" s="274"/>
      <c r="E1" s="274"/>
    </row>
    <row r="2" spans="1:5" ht="21">
      <c r="A2" s="274" t="s">
        <v>271</v>
      </c>
      <c r="B2" s="274"/>
      <c r="C2" s="274"/>
      <c r="D2" s="274"/>
      <c r="E2" s="274"/>
    </row>
    <row r="3" spans="1:5" ht="21">
      <c r="A3" s="219" t="s">
        <v>147</v>
      </c>
      <c r="B3" s="219" t="s">
        <v>148</v>
      </c>
      <c r="C3" s="220" t="s">
        <v>149</v>
      </c>
      <c r="D3" s="219" t="s">
        <v>150</v>
      </c>
      <c r="E3" s="221" t="s">
        <v>151</v>
      </c>
    </row>
    <row r="4" spans="1:5" ht="21">
      <c r="A4" s="222">
        <v>1</v>
      </c>
      <c r="B4" s="255">
        <v>20815</v>
      </c>
      <c r="C4" s="223" t="s">
        <v>409</v>
      </c>
      <c r="D4" s="222" t="s">
        <v>235</v>
      </c>
      <c r="E4" s="224">
        <v>50000</v>
      </c>
    </row>
    <row r="5" spans="1:5" ht="21">
      <c r="A5" s="222">
        <v>2</v>
      </c>
      <c r="B5" s="255">
        <v>20830</v>
      </c>
      <c r="C5" s="223" t="s">
        <v>410</v>
      </c>
      <c r="D5" s="222" t="s">
        <v>234</v>
      </c>
      <c r="E5" s="224">
        <v>50000</v>
      </c>
    </row>
    <row r="6" spans="1:5" ht="21">
      <c r="A6" s="222">
        <v>3</v>
      </c>
      <c r="B6" s="255">
        <v>21085</v>
      </c>
      <c r="C6" s="223" t="s">
        <v>411</v>
      </c>
      <c r="D6" s="222" t="s">
        <v>236</v>
      </c>
      <c r="E6" s="224">
        <v>44000</v>
      </c>
    </row>
    <row r="7" spans="1:5" ht="21">
      <c r="A7" s="222">
        <v>4</v>
      </c>
      <c r="B7" s="255">
        <v>20771</v>
      </c>
      <c r="C7" s="223" t="s">
        <v>412</v>
      </c>
      <c r="D7" s="222" t="s">
        <v>237</v>
      </c>
      <c r="E7" s="224">
        <v>40000</v>
      </c>
    </row>
    <row r="8" spans="1:5" ht="21">
      <c r="A8" s="222">
        <v>5</v>
      </c>
      <c r="B8" s="255">
        <v>240127</v>
      </c>
      <c r="C8" s="223" t="s">
        <v>413</v>
      </c>
      <c r="D8" s="222" t="s">
        <v>238</v>
      </c>
      <c r="E8" s="224">
        <v>16000</v>
      </c>
    </row>
    <row r="9" spans="1:5" ht="21">
      <c r="A9" s="222">
        <v>6</v>
      </c>
      <c r="B9" s="255">
        <v>20815</v>
      </c>
      <c r="C9" s="223" t="s">
        <v>414</v>
      </c>
      <c r="D9" s="222" t="s">
        <v>239</v>
      </c>
      <c r="E9" s="224">
        <v>76000</v>
      </c>
    </row>
    <row r="10" spans="1:5" ht="21">
      <c r="A10" s="222">
        <v>7</v>
      </c>
      <c r="B10" s="255">
        <v>21101</v>
      </c>
      <c r="C10" s="223" t="s">
        <v>432</v>
      </c>
      <c r="D10" s="222" t="s">
        <v>433</v>
      </c>
      <c r="E10" s="224">
        <v>24000</v>
      </c>
    </row>
    <row r="11" spans="1:5" ht="21">
      <c r="A11" s="222">
        <v>8</v>
      </c>
      <c r="B11" s="255">
        <v>21075</v>
      </c>
      <c r="C11" s="223" t="s">
        <v>415</v>
      </c>
      <c r="D11" s="222" t="s">
        <v>240</v>
      </c>
      <c r="E11" s="224">
        <v>40000</v>
      </c>
    </row>
    <row r="12" spans="1:5" ht="21">
      <c r="A12" s="222">
        <v>9</v>
      </c>
      <c r="B12" s="255">
        <v>240133</v>
      </c>
      <c r="C12" s="223" t="s">
        <v>416</v>
      </c>
      <c r="D12" s="222" t="s">
        <v>241</v>
      </c>
      <c r="E12" s="224">
        <v>30000</v>
      </c>
    </row>
    <row r="13" spans="1:5" ht="21">
      <c r="A13" s="222">
        <v>10</v>
      </c>
      <c r="B13" s="255">
        <v>21096</v>
      </c>
      <c r="C13" s="223" t="s">
        <v>430</v>
      </c>
      <c r="D13" s="222" t="s">
        <v>431</v>
      </c>
      <c r="E13" s="224">
        <v>30000</v>
      </c>
    </row>
    <row r="14" spans="1:5" ht="21">
      <c r="A14" s="222">
        <v>11</v>
      </c>
      <c r="B14" s="255">
        <v>20773</v>
      </c>
      <c r="C14" s="223" t="s">
        <v>417</v>
      </c>
      <c r="D14" s="222" t="s">
        <v>242</v>
      </c>
      <c r="E14" s="224">
        <v>100000</v>
      </c>
    </row>
    <row r="15" spans="1:5" ht="21">
      <c r="A15" s="222">
        <v>12</v>
      </c>
      <c r="B15" s="255">
        <v>20871</v>
      </c>
      <c r="C15" s="223" t="s">
        <v>418</v>
      </c>
      <c r="D15" s="222" t="s">
        <v>243</v>
      </c>
      <c r="E15" s="224">
        <v>40000</v>
      </c>
    </row>
    <row r="16" spans="1:5" ht="21">
      <c r="A16" s="222">
        <v>13</v>
      </c>
      <c r="B16" s="255">
        <v>240147</v>
      </c>
      <c r="C16" s="223" t="s">
        <v>419</v>
      </c>
      <c r="D16" s="222" t="s">
        <v>244</v>
      </c>
      <c r="E16" s="224">
        <v>39000</v>
      </c>
    </row>
    <row r="17" spans="1:5" ht="21">
      <c r="A17" s="222">
        <v>14</v>
      </c>
      <c r="B17" s="255">
        <v>20766</v>
      </c>
      <c r="C17" s="223" t="s">
        <v>420</v>
      </c>
      <c r="D17" s="222" t="s">
        <v>421</v>
      </c>
      <c r="E17" s="224">
        <v>100000</v>
      </c>
    </row>
    <row r="18" spans="1:5" ht="21">
      <c r="A18" s="222">
        <v>15</v>
      </c>
      <c r="B18" s="255">
        <v>20816</v>
      </c>
      <c r="C18" s="223" t="s">
        <v>422</v>
      </c>
      <c r="D18" s="222" t="s">
        <v>246</v>
      </c>
      <c r="E18" s="224">
        <v>13000</v>
      </c>
    </row>
    <row r="19" spans="1:5" ht="21">
      <c r="A19" s="222">
        <v>16</v>
      </c>
      <c r="B19" s="255">
        <v>21047</v>
      </c>
      <c r="C19" s="223" t="s">
        <v>419</v>
      </c>
      <c r="D19" s="222" t="s">
        <v>274</v>
      </c>
      <c r="E19" s="224">
        <v>47000</v>
      </c>
    </row>
    <row r="20" spans="1:5" ht="21">
      <c r="A20" s="222">
        <v>17</v>
      </c>
      <c r="B20" s="255">
        <v>21066</v>
      </c>
      <c r="C20" s="223" t="s">
        <v>423</v>
      </c>
      <c r="D20" s="222" t="s">
        <v>424</v>
      </c>
      <c r="E20" s="224">
        <v>40000</v>
      </c>
    </row>
    <row r="21" spans="1:5" ht="21">
      <c r="A21" s="222">
        <v>18</v>
      </c>
      <c r="B21" s="255">
        <v>237770</v>
      </c>
      <c r="C21" s="223" t="s">
        <v>247</v>
      </c>
      <c r="D21" s="222" t="s">
        <v>248</v>
      </c>
      <c r="E21" s="224">
        <v>13780</v>
      </c>
    </row>
    <row r="22" spans="1:5" ht="21">
      <c r="A22" s="222">
        <v>19</v>
      </c>
      <c r="B22" s="255">
        <v>237770</v>
      </c>
      <c r="C22" s="223" t="s">
        <v>186</v>
      </c>
      <c r="D22" s="222" t="s">
        <v>249</v>
      </c>
      <c r="E22" s="224">
        <v>8780</v>
      </c>
    </row>
    <row r="23" spans="1:5" ht="21">
      <c r="A23" s="222">
        <v>20</v>
      </c>
      <c r="B23" s="255">
        <v>20830</v>
      </c>
      <c r="C23" s="223" t="s">
        <v>425</v>
      </c>
      <c r="D23" s="222" t="s">
        <v>250</v>
      </c>
      <c r="E23" s="224">
        <v>60000</v>
      </c>
    </row>
    <row r="24" spans="1:5" ht="21">
      <c r="A24" s="222">
        <v>21</v>
      </c>
      <c r="B24" s="255">
        <v>20766</v>
      </c>
      <c r="C24" s="223" t="s">
        <v>426</v>
      </c>
      <c r="D24" s="222" t="s">
        <v>427</v>
      </c>
      <c r="E24" s="224">
        <v>15000</v>
      </c>
    </row>
    <row r="25" spans="1:5" ht="21">
      <c r="A25" s="222">
        <v>22</v>
      </c>
      <c r="B25" s="255">
        <v>21115</v>
      </c>
      <c r="C25" s="223" t="s">
        <v>434</v>
      </c>
      <c r="D25" s="222" t="s">
        <v>435</v>
      </c>
      <c r="E25" s="224">
        <v>24000</v>
      </c>
    </row>
    <row r="26" spans="1:5" ht="21">
      <c r="A26" s="222">
        <v>23</v>
      </c>
      <c r="B26" s="255">
        <v>20835</v>
      </c>
      <c r="C26" s="223" t="s">
        <v>428</v>
      </c>
      <c r="D26" s="222" t="s">
        <v>245</v>
      </c>
      <c r="E26" s="224">
        <v>70000</v>
      </c>
    </row>
    <row r="27" spans="1:5" ht="21">
      <c r="A27" s="222">
        <v>24</v>
      </c>
      <c r="B27" s="255">
        <v>21054</v>
      </c>
      <c r="C27" s="223" t="s">
        <v>429</v>
      </c>
      <c r="D27" s="222" t="s">
        <v>275</v>
      </c>
      <c r="E27" s="224">
        <v>30000</v>
      </c>
    </row>
    <row r="28" spans="1:5" ht="21">
      <c r="A28" s="273" t="s">
        <v>20</v>
      </c>
      <c r="B28" s="273"/>
      <c r="C28" s="273"/>
      <c r="D28" s="273"/>
      <c r="E28" s="225">
        <f>SUM(E4:E27)</f>
        <v>1000560</v>
      </c>
    </row>
    <row r="32" spans="1:6" ht="21">
      <c r="A32" s="275" t="s">
        <v>276</v>
      </c>
      <c r="B32" s="275"/>
      <c r="C32" s="275"/>
      <c r="D32" s="275"/>
      <c r="E32" s="275"/>
      <c r="F32" s="228"/>
    </row>
    <row r="33" spans="1:6" ht="21">
      <c r="A33" s="272" t="s">
        <v>232</v>
      </c>
      <c r="B33" s="272"/>
      <c r="C33" s="272"/>
      <c r="D33" s="272"/>
      <c r="E33" s="272"/>
      <c r="F33" s="272"/>
    </row>
    <row r="34" spans="1:6" ht="21">
      <c r="A34" s="272" t="s">
        <v>233</v>
      </c>
      <c r="B34" s="272"/>
      <c r="C34" s="272"/>
      <c r="D34" s="272"/>
      <c r="E34" s="272"/>
      <c r="F34" s="272"/>
    </row>
  </sheetData>
  <sheetProtection/>
  <mergeCells count="6">
    <mergeCell ref="A33:F33"/>
    <mergeCell ref="A34:F34"/>
    <mergeCell ref="A28:D28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6" t="s">
        <v>437</v>
      </c>
      <c r="B1" s="276"/>
      <c r="C1" s="276"/>
      <c r="D1" s="276"/>
      <c r="E1" s="70"/>
    </row>
    <row r="2" spans="1:5" ht="23.25">
      <c r="A2" s="276" t="s">
        <v>269</v>
      </c>
      <c r="B2" s="276"/>
      <c r="C2" s="276"/>
      <c r="D2" s="276"/>
      <c r="E2" s="70"/>
    </row>
    <row r="3" spans="1:4" ht="23.25">
      <c r="A3" s="276" t="s">
        <v>251</v>
      </c>
      <c r="B3" s="276"/>
      <c r="C3" s="276"/>
      <c r="D3" s="276"/>
    </row>
    <row r="5" spans="1:4" ht="23.25">
      <c r="A5" s="172" t="s">
        <v>147</v>
      </c>
      <c r="B5" s="172" t="s">
        <v>25</v>
      </c>
      <c r="C5" s="172" t="s">
        <v>73</v>
      </c>
      <c r="D5" s="172" t="s">
        <v>252</v>
      </c>
    </row>
    <row r="6" spans="1:4" ht="23.25">
      <c r="A6" s="184">
        <v>1</v>
      </c>
      <c r="B6" s="185" t="s">
        <v>253</v>
      </c>
      <c r="C6" s="186">
        <v>100000</v>
      </c>
      <c r="D6" s="185"/>
    </row>
    <row r="7" spans="1:4" ht="23.25">
      <c r="A7" s="187">
        <v>2</v>
      </c>
      <c r="B7" s="188" t="s">
        <v>254</v>
      </c>
      <c r="C7" s="189">
        <v>100000</v>
      </c>
      <c r="D7" s="188"/>
    </row>
    <row r="8" spans="1:4" ht="23.25">
      <c r="A8" s="187">
        <v>3</v>
      </c>
      <c r="B8" s="188" t="s">
        <v>255</v>
      </c>
      <c r="C8" s="189">
        <v>100000</v>
      </c>
      <c r="D8" s="188"/>
    </row>
    <row r="9" spans="1:4" ht="23.25">
      <c r="A9" s="187">
        <v>4</v>
      </c>
      <c r="B9" s="188" t="s">
        <v>256</v>
      </c>
      <c r="C9" s="189">
        <v>100000</v>
      </c>
      <c r="D9" s="188"/>
    </row>
    <row r="10" spans="1:4" ht="23.25">
      <c r="A10" s="187">
        <v>5</v>
      </c>
      <c r="B10" s="188" t="s">
        <v>257</v>
      </c>
      <c r="C10" s="189">
        <v>100000</v>
      </c>
      <c r="D10" s="188"/>
    </row>
    <row r="11" spans="1:4" ht="23.25">
      <c r="A11" s="187">
        <v>6</v>
      </c>
      <c r="B11" s="188" t="s">
        <v>258</v>
      </c>
      <c r="C11" s="189">
        <v>100000</v>
      </c>
      <c r="D11" s="188"/>
    </row>
    <row r="12" spans="1:4" ht="23.25">
      <c r="A12" s="187">
        <v>7</v>
      </c>
      <c r="B12" s="188" t="s">
        <v>259</v>
      </c>
      <c r="C12" s="189">
        <v>100000</v>
      </c>
      <c r="D12" s="188"/>
    </row>
    <row r="13" spans="1:4" ht="23.25">
      <c r="A13" s="187">
        <v>8</v>
      </c>
      <c r="B13" s="188" t="s">
        <v>260</v>
      </c>
      <c r="C13" s="189">
        <v>100000</v>
      </c>
      <c r="D13" s="188"/>
    </row>
    <row r="14" spans="1:4" ht="23.25">
      <c r="A14" s="187">
        <v>9</v>
      </c>
      <c r="B14" s="188" t="s">
        <v>261</v>
      </c>
      <c r="C14" s="189">
        <v>100000</v>
      </c>
      <c r="D14" s="188"/>
    </row>
    <row r="15" spans="1:4" ht="23.25">
      <c r="A15" s="187">
        <v>10</v>
      </c>
      <c r="B15" s="188" t="s">
        <v>262</v>
      </c>
      <c r="C15" s="189">
        <v>100000</v>
      </c>
      <c r="D15" s="188"/>
    </row>
    <row r="16" spans="1:4" ht="23.25">
      <c r="A16" s="190">
        <v>11</v>
      </c>
      <c r="B16" s="191" t="s">
        <v>263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264</v>
      </c>
      <c r="D20" s="171" t="s">
        <v>265</v>
      </c>
    </row>
    <row r="21" spans="1:3" ht="23.25">
      <c r="A21" s="171" t="s">
        <v>266</v>
      </c>
      <c r="C21" s="171" t="s">
        <v>270</v>
      </c>
    </row>
    <row r="22" spans="1:3" ht="23.25">
      <c r="A22" s="171" t="s">
        <v>267</v>
      </c>
      <c r="C22" s="171" t="s">
        <v>268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D34" sqref="D34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6" t="s">
        <v>403</v>
      </c>
      <c r="B1" s="276"/>
      <c r="C1" s="276"/>
      <c r="D1" s="276"/>
      <c r="E1" s="276"/>
      <c r="F1" s="276"/>
    </row>
    <row r="2" spans="1:6" ht="23.25">
      <c r="A2" s="276" t="s">
        <v>395</v>
      </c>
      <c r="B2" s="276"/>
      <c r="C2" s="276"/>
      <c r="D2" s="276"/>
      <c r="E2" s="276"/>
      <c r="F2" s="276"/>
    </row>
    <row r="3" spans="1:6" ht="23.25">
      <c r="A3" s="278" t="s">
        <v>272</v>
      </c>
      <c r="B3" s="278"/>
      <c r="C3" s="278"/>
      <c r="D3" s="278"/>
      <c r="E3" s="278"/>
      <c r="F3" s="278"/>
    </row>
    <row r="4" spans="1:6" ht="23.25">
      <c r="A4" s="172" t="s">
        <v>147</v>
      </c>
      <c r="B4" s="172" t="s">
        <v>148</v>
      </c>
      <c r="C4" s="173" t="s">
        <v>149</v>
      </c>
      <c r="D4" s="172" t="s">
        <v>150</v>
      </c>
      <c r="E4" s="174" t="s">
        <v>151</v>
      </c>
      <c r="F4" s="174" t="s">
        <v>152</v>
      </c>
    </row>
    <row r="5" spans="1:6" ht="23.25">
      <c r="A5" s="175">
        <v>1</v>
      </c>
      <c r="B5" s="176">
        <v>16233</v>
      </c>
      <c r="C5" s="177" t="s">
        <v>153</v>
      </c>
      <c r="D5" s="175" t="s">
        <v>154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155</v>
      </c>
      <c r="D6" s="175" t="s">
        <v>156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157</v>
      </c>
      <c r="D7" s="175" t="s">
        <v>158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159</v>
      </c>
      <c r="D8" s="175" t="s">
        <v>160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161</v>
      </c>
      <c r="D9" s="175" t="s">
        <v>162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163</v>
      </c>
      <c r="D10" s="175" t="s">
        <v>164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165</v>
      </c>
      <c r="D11" s="175" t="s">
        <v>166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167</v>
      </c>
      <c r="D12" s="175" t="s">
        <v>168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169</v>
      </c>
      <c r="D13" s="175" t="s">
        <v>170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171</v>
      </c>
      <c r="D14" s="175" t="s">
        <v>172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173</v>
      </c>
      <c r="D15" s="175" t="s">
        <v>174</v>
      </c>
      <c r="E15" s="178">
        <v>30000</v>
      </c>
      <c r="F15" s="178">
        <f>1125+430+589</f>
        <v>2144</v>
      </c>
    </row>
    <row r="16" spans="1:6" ht="23.25">
      <c r="A16" s="175">
        <v>12</v>
      </c>
      <c r="B16" s="176">
        <v>17931</v>
      </c>
      <c r="C16" s="177" t="s">
        <v>175</v>
      </c>
      <c r="D16" s="175" t="s">
        <v>176</v>
      </c>
      <c r="E16" s="178">
        <v>40000</v>
      </c>
      <c r="F16" s="178">
        <f>1858+430+589</f>
        <v>2877</v>
      </c>
    </row>
    <row r="17" spans="1:6" ht="23.25">
      <c r="A17" s="175">
        <v>13</v>
      </c>
      <c r="B17" s="176">
        <v>18079</v>
      </c>
      <c r="C17" s="177" t="s">
        <v>177</v>
      </c>
      <c r="D17" s="175" t="s">
        <v>178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179</v>
      </c>
      <c r="D18" s="175" t="s">
        <v>156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180</v>
      </c>
      <c r="D19" s="175" t="s">
        <v>181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182</v>
      </c>
      <c r="D20" s="175" t="s">
        <v>170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183</v>
      </c>
      <c r="D21" s="175" t="s">
        <v>184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185</v>
      </c>
      <c r="D22" s="175" t="s">
        <v>166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186</v>
      </c>
      <c r="D23" s="175" t="s">
        <v>187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188</v>
      </c>
      <c r="D24" s="175" t="s">
        <v>168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189</v>
      </c>
      <c r="D25" s="175" t="s">
        <v>190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191</v>
      </c>
      <c r="D26" s="175" t="s">
        <v>168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192</v>
      </c>
      <c r="D27" s="175" t="s">
        <v>193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194</v>
      </c>
      <c r="D28" s="175" t="s">
        <v>195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196</v>
      </c>
      <c r="D29" s="175" t="s">
        <v>197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198</v>
      </c>
      <c r="D30" s="175" t="s">
        <v>199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200</v>
      </c>
      <c r="D31" s="175" t="s">
        <v>190</v>
      </c>
      <c r="E31" s="178">
        <v>15000</v>
      </c>
      <c r="F31" s="178">
        <v>188</v>
      </c>
    </row>
    <row r="33" spans="1:6" ht="23.25">
      <c r="A33" s="172" t="s">
        <v>147</v>
      </c>
      <c r="B33" s="172" t="s">
        <v>148</v>
      </c>
      <c r="C33" s="173" t="s">
        <v>149</v>
      </c>
      <c r="D33" s="172" t="s">
        <v>150</v>
      </c>
      <c r="E33" s="174" t="s">
        <v>151</v>
      </c>
      <c r="F33" s="174" t="s">
        <v>152</v>
      </c>
    </row>
    <row r="34" spans="1:6" ht="23.25">
      <c r="A34" s="175">
        <v>28</v>
      </c>
      <c r="B34" s="176">
        <v>19283</v>
      </c>
      <c r="C34" s="177" t="s">
        <v>201</v>
      </c>
      <c r="D34" s="175" t="s">
        <v>202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203</v>
      </c>
      <c r="D35" s="175" t="s">
        <v>204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205</v>
      </c>
      <c r="D36" s="175" t="s">
        <v>206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207</v>
      </c>
      <c r="D37" s="175" t="s">
        <v>208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209</v>
      </c>
      <c r="D38" s="175" t="s">
        <v>210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211</v>
      </c>
      <c r="D39" s="175" t="s">
        <v>212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213</v>
      </c>
      <c r="D40" s="175" t="s">
        <v>202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214</v>
      </c>
      <c r="D41" s="175" t="s">
        <v>215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216</v>
      </c>
      <c r="D42" s="175" t="s">
        <v>193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217</v>
      </c>
      <c r="D43" s="175" t="s">
        <v>197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218</v>
      </c>
      <c r="D44" s="175" t="s">
        <v>219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220</v>
      </c>
      <c r="D45" s="175" t="s">
        <v>221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222</v>
      </c>
      <c r="D46" s="175" t="s">
        <v>223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224</v>
      </c>
      <c r="D47" s="175" t="s">
        <v>225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226</v>
      </c>
      <c r="D48" s="175" t="s">
        <v>227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228</v>
      </c>
      <c r="D49" s="175" t="s">
        <v>229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230</v>
      </c>
      <c r="D50" s="175" t="s">
        <v>231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353</v>
      </c>
      <c r="D51" s="175" t="s">
        <v>354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438</v>
      </c>
      <c r="D52" s="175" t="s">
        <v>439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440</v>
      </c>
      <c r="D53" s="175" t="s">
        <v>441</v>
      </c>
      <c r="E53" s="178">
        <v>40000</v>
      </c>
      <c r="F53" s="178">
        <v>1000</v>
      </c>
    </row>
    <row r="54" spans="1:6" ht="23.25">
      <c r="A54" s="175">
        <v>48</v>
      </c>
      <c r="B54" s="176">
        <v>20582</v>
      </c>
      <c r="C54" s="177" t="s">
        <v>442</v>
      </c>
      <c r="D54" s="175" t="s">
        <v>443</v>
      </c>
      <c r="E54" s="178">
        <v>39000</v>
      </c>
      <c r="F54" s="178">
        <v>488</v>
      </c>
    </row>
    <row r="55" spans="1:6" ht="23.25">
      <c r="A55" s="175">
        <v>49</v>
      </c>
      <c r="B55" s="176">
        <v>20913</v>
      </c>
      <c r="C55" s="177" t="s">
        <v>444</v>
      </c>
      <c r="D55" s="175" t="s">
        <v>229</v>
      </c>
      <c r="E55" s="178">
        <v>20000</v>
      </c>
      <c r="F55" s="178">
        <v>625</v>
      </c>
    </row>
    <row r="56" spans="1:6" ht="23.25">
      <c r="A56" s="175">
        <v>50</v>
      </c>
      <c r="B56" s="176">
        <v>20681</v>
      </c>
      <c r="C56" s="177" t="s">
        <v>445</v>
      </c>
      <c r="D56" s="175" t="s">
        <v>424</v>
      </c>
      <c r="E56" s="178">
        <v>40000</v>
      </c>
      <c r="F56" s="178">
        <v>250</v>
      </c>
    </row>
    <row r="57" spans="1:6" ht="24" thickBot="1">
      <c r="A57" s="279" t="s">
        <v>20</v>
      </c>
      <c r="B57" s="280"/>
      <c r="C57" s="280"/>
      <c r="D57" s="281"/>
      <c r="E57" s="182">
        <f>SUM(E5:E56)</f>
        <v>1452100</v>
      </c>
      <c r="F57" s="182">
        <f>SUM(F5:F56)</f>
        <v>26000</v>
      </c>
    </row>
    <row r="58" spans="1:6" ht="24" thickTop="1">
      <c r="A58" s="183"/>
      <c r="B58" s="183"/>
      <c r="C58" s="183"/>
      <c r="D58" s="183"/>
      <c r="E58" s="183"/>
      <c r="F58" s="183"/>
    </row>
    <row r="59" spans="1:6" ht="23.25">
      <c r="A59" s="183"/>
      <c r="B59" s="183"/>
      <c r="C59" s="183"/>
      <c r="D59" s="183"/>
      <c r="E59" s="183"/>
      <c r="F59" s="183"/>
    </row>
    <row r="60" spans="1:6" ht="23.25">
      <c r="A60" s="183"/>
      <c r="B60" s="183"/>
      <c r="C60" s="183"/>
      <c r="D60" s="183"/>
      <c r="E60" s="183"/>
      <c r="F60" s="183"/>
    </row>
    <row r="61" spans="1:6" ht="23.25">
      <c r="A61" s="277" t="s">
        <v>446</v>
      </c>
      <c r="B61" s="277"/>
      <c r="C61" s="277"/>
      <c r="D61" s="277"/>
      <c r="E61" s="277"/>
      <c r="F61" s="277"/>
    </row>
    <row r="62" spans="1:6" ht="23.25">
      <c r="A62" s="277" t="s">
        <v>232</v>
      </c>
      <c r="B62" s="277"/>
      <c r="C62" s="277"/>
      <c r="D62" s="277"/>
      <c r="E62" s="277"/>
      <c r="F62" s="277"/>
    </row>
    <row r="63" spans="1:6" ht="23.25">
      <c r="A63" s="277" t="s">
        <v>233</v>
      </c>
      <c r="B63" s="277"/>
      <c r="C63" s="277"/>
      <c r="D63" s="277"/>
      <c r="E63" s="277"/>
      <c r="F63" s="277"/>
    </row>
  </sheetData>
  <sheetProtection/>
  <mergeCells count="7">
    <mergeCell ref="A63:F63"/>
    <mergeCell ref="A1:F1"/>
    <mergeCell ref="A2:F2"/>
    <mergeCell ref="A3:F3"/>
    <mergeCell ref="A57:D57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1" max="1" width="12.28125" style="197" customWidth="1"/>
    <col min="2" max="2" width="33.8515625" style="197" customWidth="1"/>
    <col min="3" max="3" width="38.421875" style="198" customWidth="1"/>
    <col min="4" max="16384" width="9.140625" style="171" customWidth="1"/>
  </cols>
  <sheetData>
    <row r="1" spans="1:3" ht="23.25">
      <c r="A1" s="274" t="s">
        <v>403</v>
      </c>
      <c r="B1" s="274"/>
      <c r="C1" s="274"/>
    </row>
    <row r="2" spans="1:3" ht="23.25">
      <c r="A2" s="274" t="s">
        <v>395</v>
      </c>
      <c r="B2" s="274"/>
      <c r="C2" s="274"/>
    </row>
    <row r="3" spans="1:3" ht="23.25">
      <c r="A3" s="274" t="s">
        <v>273</v>
      </c>
      <c r="B3" s="274"/>
      <c r="C3" s="274"/>
    </row>
    <row r="4" spans="1:3" ht="19.5" customHeight="1">
      <c r="A4" s="219" t="s">
        <v>147</v>
      </c>
      <c r="B4" s="219" t="s">
        <v>148</v>
      </c>
      <c r="C4" s="221" t="s">
        <v>278</v>
      </c>
    </row>
    <row r="5" spans="1:3" ht="19.5" customHeight="1">
      <c r="A5" s="259">
        <v>1</v>
      </c>
      <c r="B5" s="255">
        <v>235849</v>
      </c>
      <c r="C5" s="260">
        <v>103.54</v>
      </c>
    </row>
    <row r="6" spans="1:3" ht="19.5" customHeight="1">
      <c r="A6" s="259">
        <v>2</v>
      </c>
      <c r="B6" s="255">
        <v>236021</v>
      </c>
      <c r="C6" s="260">
        <v>136.72</v>
      </c>
    </row>
    <row r="7" spans="1:3" ht="19.5" customHeight="1">
      <c r="A7" s="259">
        <v>3</v>
      </c>
      <c r="B7" s="255">
        <v>236213</v>
      </c>
      <c r="C7" s="260">
        <v>211.02</v>
      </c>
    </row>
    <row r="8" spans="1:3" ht="19.5" customHeight="1">
      <c r="A8" s="259">
        <v>4</v>
      </c>
      <c r="B8" s="255">
        <v>236394</v>
      </c>
      <c r="C8" s="260">
        <v>57.48</v>
      </c>
    </row>
    <row r="9" spans="1:3" ht="19.5" customHeight="1">
      <c r="A9" s="259">
        <v>5</v>
      </c>
      <c r="B9" s="255">
        <v>236583</v>
      </c>
      <c r="C9" s="260">
        <v>146.63</v>
      </c>
    </row>
    <row r="10" spans="1:3" ht="18.75" customHeight="1">
      <c r="A10" s="259">
        <v>6</v>
      </c>
      <c r="B10" s="255">
        <v>236759</v>
      </c>
      <c r="C10" s="261">
        <v>119.2</v>
      </c>
    </row>
    <row r="11" spans="1:3" ht="19.5" customHeight="1">
      <c r="A11" s="259">
        <v>7</v>
      </c>
      <c r="B11" s="255">
        <v>236948</v>
      </c>
      <c r="C11" s="261">
        <v>287.6</v>
      </c>
    </row>
    <row r="12" spans="1:3" ht="19.5" customHeight="1">
      <c r="A12" s="259">
        <v>8</v>
      </c>
      <c r="B12" s="255">
        <v>237130</v>
      </c>
      <c r="C12" s="260">
        <v>403.22</v>
      </c>
    </row>
    <row r="13" spans="1:3" ht="19.5" customHeight="1">
      <c r="A13" s="259">
        <v>9</v>
      </c>
      <c r="B13" s="255">
        <v>237312</v>
      </c>
      <c r="C13" s="262">
        <v>234.17</v>
      </c>
    </row>
    <row r="14" spans="1:3" ht="19.5" customHeight="1">
      <c r="A14" s="259">
        <v>10</v>
      </c>
      <c r="B14" s="255">
        <v>18348</v>
      </c>
      <c r="C14" s="262">
        <v>254.88</v>
      </c>
    </row>
    <row r="15" spans="1:3" ht="19.5" customHeight="1">
      <c r="A15" s="259">
        <v>11</v>
      </c>
      <c r="B15" s="255">
        <v>237676</v>
      </c>
      <c r="C15" s="262">
        <v>346.72</v>
      </c>
    </row>
    <row r="16" spans="1:3" ht="19.5" customHeight="1">
      <c r="A16" s="259">
        <v>12</v>
      </c>
      <c r="B16" s="255">
        <v>237857</v>
      </c>
      <c r="C16" s="262">
        <v>339.62</v>
      </c>
    </row>
    <row r="17" spans="1:3" ht="19.5" customHeight="1">
      <c r="A17" s="259">
        <v>13</v>
      </c>
      <c r="B17" s="255">
        <v>238039</v>
      </c>
      <c r="C17" s="262">
        <v>342.47</v>
      </c>
    </row>
    <row r="18" spans="1:3" ht="19.5" customHeight="1">
      <c r="A18" s="259">
        <v>14</v>
      </c>
      <c r="B18" s="255">
        <v>238222</v>
      </c>
      <c r="C18" s="262">
        <v>358.51</v>
      </c>
    </row>
    <row r="19" spans="1:3" ht="19.5" customHeight="1">
      <c r="A19" s="259">
        <v>15</v>
      </c>
      <c r="B19" s="255">
        <v>238404</v>
      </c>
      <c r="C19" s="262">
        <v>183.56</v>
      </c>
    </row>
    <row r="20" spans="1:3" ht="19.5" customHeight="1">
      <c r="A20" s="259">
        <v>16</v>
      </c>
      <c r="B20" s="255">
        <v>238586</v>
      </c>
      <c r="C20" s="262">
        <v>249.47</v>
      </c>
    </row>
    <row r="21" spans="1:3" ht="19.5" customHeight="1">
      <c r="A21" s="259">
        <v>17</v>
      </c>
      <c r="B21" s="255">
        <v>238775</v>
      </c>
      <c r="C21" s="262">
        <v>221.32</v>
      </c>
    </row>
    <row r="22" spans="1:3" ht="19.5" customHeight="1">
      <c r="A22" s="259">
        <v>18</v>
      </c>
      <c r="B22" s="255">
        <v>238949</v>
      </c>
      <c r="C22" s="262">
        <v>207.96</v>
      </c>
    </row>
    <row r="23" spans="1:3" ht="19.5" customHeight="1">
      <c r="A23" s="259">
        <v>19</v>
      </c>
      <c r="B23" s="255">
        <v>239138</v>
      </c>
      <c r="C23" s="262">
        <v>487.4</v>
      </c>
    </row>
    <row r="24" spans="1:3" ht="19.5" customHeight="1">
      <c r="A24" s="259">
        <v>20</v>
      </c>
      <c r="B24" s="255">
        <v>239320</v>
      </c>
      <c r="C24" s="262">
        <v>323.86</v>
      </c>
    </row>
    <row r="25" spans="1:3" ht="19.5" customHeight="1">
      <c r="A25" s="259">
        <v>21</v>
      </c>
      <c r="B25" s="255">
        <v>239507</v>
      </c>
      <c r="C25" s="262">
        <v>369.85</v>
      </c>
    </row>
    <row r="26" spans="1:3" ht="19.5" customHeight="1">
      <c r="A26" s="259">
        <v>22</v>
      </c>
      <c r="B26" s="255">
        <v>239691</v>
      </c>
      <c r="C26" s="262">
        <v>451.52</v>
      </c>
    </row>
    <row r="27" spans="1:3" ht="19.5" customHeight="1">
      <c r="A27" s="259">
        <v>23</v>
      </c>
      <c r="B27" s="255">
        <v>239872</v>
      </c>
      <c r="C27" s="262">
        <v>358.8</v>
      </c>
    </row>
    <row r="28" spans="1:3" ht="19.5" customHeight="1">
      <c r="A28" s="259">
        <v>24</v>
      </c>
      <c r="B28" s="255">
        <v>240054</v>
      </c>
      <c r="C28" s="262">
        <v>415.47</v>
      </c>
    </row>
    <row r="29" spans="1:3" ht="19.5" customHeight="1">
      <c r="A29" s="259">
        <v>25</v>
      </c>
      <c r="B29" s="255">
        <v>21090</v>
      </c>
      <c r="C29" s="262">
        <v>271.13</v>
      </c>
    </row>
    <row r="30" spans="1:3" ht="24" thickBot="1">
      <c r="A30" s="282" t="s">
        <v>20</v>
      </c>
      <c r="B30" s="283"/>
      <c r="C30" s="263">
        <f>SUM(C5:C29)</f>
        <v>6882.12</v>
      </c>
    </row>
    <row r="31" spans="1:3" ht="24" thickTop="1">
      <c r="A31" s="264"/>
      <c r="B31" s="264"/>
      <c r="C31" s="265"/>
    </row>
    <row r="32" spans="1:3" ht="23.25">
      <c r="A32" s="275" t="s">
        <v>447</v>
      </c>
      <c r="B32" s="275"/>
      <c r="C32" s="275"/>
    </row>
    <row r="33" spans="1:3" ht="23.25">
      <c r="A33" s="284" t="s">
        <v>448</v>
      </c>
      <c r="B33" s="284"/>
      <c r="C33" s="284"/>
    </row>
    <row r="34" spans="1:3" ht="23.25">
      <c r="A34" s="272" t="s">
        <v>449</v>
      </c>
      <c r="B34" s="272"/>
      <c r="C34" s="272"/>
    </row>
  </sheetData>
  <sheetProtection/>
  <mergeCells count="7">
    <mergeCell ref="A34:C34"/>
    <mergeCell ref="A1:C1"/>
    <mergeCell ref="A2:C2"/>
    <mergeCell ref="A3:C3"/>
    <mergeCell ref="A30:B30"/>
    <mergeCell ref="A32:C32"/>
    <mergeCell ref="A33:C3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6"/>
  <sheetViews>
    <sheetView view="pageBreakPreview" zoomScaleSheetLayoutView="100" zoomScalePageLayoutView="0" workbookViewId="0" topLeftCell="A136">
      <selection activeCell="C49" sqref="C49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1" t="s">
        <v>483</v>
      </c>
      <c r="D1" s="291"/>
      <c r="E1" s="291"/>
    </row>
    <row r="2" spans="1:5" ht="19.5" customHeight="1">
      <c r="A2" s="288" t="s">
        <v>21</v>
      </c>
      <c r="B2" s="288"/>
      <c r="C2" s="288"/>
      <c r="D2" s="288"/>
      <c r="E2" s="288"/>
    </row>
    <row r="3" spans="1:5" ht="19.5" customHeight="1">
      <c r="A3" s="288" t="s">
        <v>455</v>
      </c>
      <c r="B3" s="288"/>
      <c r="C3" s="288"/>
      <c r="D3" s="288"/>
      <c r="E3" s="288"/>
    </row>
    <row r="4" spans="1:5" ht="19.5" customHeight="1">
      <c r="A4" s="292" t="s">
        <v>22</v>
      </c>
      <c r="B4" s="293"/>
      <c r="C4" s="294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5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6"/>
      <c r="D6" s="10" t="s">
        <v>27</v>
      </c>
      <c r="E6" s="29" t="s">
        <v>29</v>
      </c>
    </row>
    <row r="7" spans="1:5" ht="19.5" customHeight="1">
      <c r="A7" s="31"/>
      <c r="B7" s="31">
        <v>32914884.13</v>
      </c>
      <c r="C7" s="32" t="s">
        <v>30</v>
      </c>
      <c r="D7" s="10"/>
      <c r="E7" s="11">
        <v>32914884.13</v>
      </c>
    </row>
    <row r="8" spans="1:5" ht="19.5" customHeight="1">
      <c r="A8" s="11"/>
      <c r="B8" s="33"/>
      <c r="C8" s="32" t="s">
        <v>59</v>
      </c>
      <c r="D8" s="10"/>
      <c r="E8" s="11"/>
    </row>
    <row r="9" spans="1:5" ht="19.5" customHeight="1">
      <c r="A9" s="34">
        <v>387700</v>
      </c>
      <c r="B9" s="34">
        <f>37.38</f>
        <v>37.38</v>
      </c>
      <c r="C9" s="6" t="s">
        <v>41</v>
      </c>
      <c r="D9" s="10" t="s">
        <v>364</v>
      </c>
      <c r="E9" s="11">
        <v>37.38</v>
      </c>
    </row>
    <row r="10" spans="1:5" ht="19.5" customHeight="1">
      <c r="A10" s="34">
        <v>166750</v>
      </c>
      <c r="B10" s="34">
        <f>3461.4</f>
        <v>3461.4</v>
      </c>
      <c r="C10" s="6" t="s">
        <v>44</v>
      </c>
      <c r="D10" s="10" t="s">
        <v>365</v>
      </c>
      <c r="E10" s="11">
        <v>3461.4</v>
      </c>
    </row>
    <row r="11" spans="1:5" ht="19.5" customHeight="1">
      <c r="A11" s="34">
        <v>260000</v>
      </c>
      <c r="B11" s="34">
        <f>6709.96</f>
        <v>6709.96</v>
      </c>
      <c r="C11" s="6" t="s">
        <v>46</v>
      </c>
      <c r="D11" s="10" t="s">
        <v>366</v>
      </c>
      <c r="E11" s="35">
        <v>6709.96</v>
      </c>
    </row>
    <row r="12" spans="1:5" ht="19.5" customHeight="1">
      <c r="A12" s="34">
        <v>100800</v>
      </c>
      <c r="B12" s="34">
        <f>20000</f>
        <v>20000</v>
      </c>
      <c r="C12" s="6" t="s">
        <v>48</v>
      </c>
      <c r="D12" s="10" t="s">
        <v>367</v>
      </c>
      <c r="E12" s="35">
        <v>20000</v>
      </c>
    </row>
    <row r="13" spans="1:5" ht="19.5" customHeight="1">
      <c r="A13" s="34">
        <v>500</v>
      </c>
      <c r="B13" s="34">
        <v>0</v>
      </c>
      <c r="C13" s="6" t="s">
        <v>81</v>
      </c>
      <c r="D13" s="10" t="s">
        <v>368</v>
      </c>
      <c r="E13" s="35">
        <v>0</v>
      </c>
    </row>
    <row r="14" spans="1:5" ht="19.5" customHeight="1">
      <c r="A14" s="34">
        <v>13207700</v>
      </c>
      <c r="B14" s="34">
        <f>1250419.28</f>
        <v>1250419.28</v>
      </c>
      <c r="C14" s="6" t="s">
        <v>50</v>
      </c>
      <c r="D14" s="10" t="s">
        <v>369</v>
      </c>
      <c r="E14" s="35">
        <v>1250419.28</v>
      </c>
    </row>
    <row r="15" spans="1:5" ht="19.5" customHeight="1">
      <c r="A15" s="138">
        <v>8299400</v>
      </c>
      <c r="B15" s="106">
        <v>0</v>
      </c>
      <c r="C15" s="6" t="s">
        <v>134</v>
      </c>
      <c r="D15" s="10" t="s">
        <v>370</v>
      </c>
      <c r="E15" s="35">
        <v>0</v>
      </c>
    </row>
    <row r="16" spans="1:5" ht="19.5" customHeight="1">
      <c r="A16" s="84">
        <f>SUM(A9:A15)</f>
        <v>22422850</v>
      </c>
      <c r="B16" s="84">
        <f>SUM(B9:B15)</f>
        <v>1280628.02</v>
      </c>
      <c r="C16" s="81" t="s">
        <v>20</v>
      </c>
      <c r="D16" s="85"/>
      <c r="E16" s="86">
        <f>SUM(E9:E15)</f>
        <v>1280628.02</v>
      </c>
    </row>
    <row r="17" spans="1:5" ht="19.5" customHeight="1">
      <c r="A17" s="87"/>
      <c r="B17" s="34">
        <f>500</f>
        <v>500</v>
      </c>
      <c r="C17" s="6" t="s">
        <v>37</v>
      </c>
      <c r="D17" s="10" t="s">
        <v>371</v>
      </c>
      <c r="E17" s="11">
        <v>500</v>
      </c>
    </row>
    <row r="18" spans="1:5" ht="19.5" customHeight="1">
      <c r="A18" s="87"/>
      <c r="B18" s="34">
        <f>694800</f>
        <v>694800</v>
      </c>
      <c r="C18" s="6" t="s">
        <v>126</v>
      </c>
      <c r="D18" s="10" t="s">
        <v>374</v>
      </c>
      <c r="E18" s="11">
        <v>694800</v>
      </c>
    </row>
    <row r="19" spans="1:5" ht="19.5" customHeight="1">
      <c r="A19" s="87"/>
      <c r="B19" s="34">
        <f>32.93</f>
        <v>32.93</v>
      </c>
      <c r="C19" s="6" t="s">
        <v>359</v>
      </c>
      <c r="D19" s="10" t="s">
        <v>391</v>
      </c>
      <c r="E19" s="11">
        <v>32.93</v>
      </c>
    </row>
    <row r="20" spans="1:5" ht="19.5" customHeight="1">
      <c r="A20" s="87"/>
      <c r="B20" s="34">
        <f>26000</f>
        <v>26000</v>
      </c>
      <c r="C20" s="6" t="s">
        <v>360</v>
      </c>
      <c r="D20" s="10" t="s">
        <v>372</v>
      </c>
      <c r="E20" s="11">
        <v>26000</v>
      </c>
    </row>
    <row r="21" spans="1:5" ht="19.5" customHeight="1">
      <c r="A21" s="11"/>
      <c r="B21" s="34">
        <f>43639.05</f>
        <v>43639.05</v>
      </c>
      <c r="C21" s="6" t="s">
        <v>137</v>
      </c>
      <c r="D21" s="10" t="s">
        <v>373</v>
      </c>
      <c r="E21" s="11">
        <v>43639.05</v>
      </c>
    </row>
    <row r="22" spans="1:5" ht="19.5" customHeight="1">
      <c r="A22" s="38"/>
      <c r="B22" s="36">
        <f>SUM(B17:B21)</f>
        <v>764971.9800000001</v>
      </c>
      <c r="C22" s="6"/>
      <c r="D22" s="10"/>
      <c r="E22" s="37">
        <f>SUM(E17:E21)</f>
        <v>764971.9800000001</v>
      </c>
    </row>
    <row r="23" spans="1:5" ht="19.5" customHeight="1">
      <c r="A23" s="11"/>
      <c r="B23" s="36">
        <f>SUM(B22,B16)</f>
        <v>2045600</v>
      </c>
      <c r="C23" s="8" t="s">
        <v>31</v>
      </c>
      <c r="D23" s="10"/>
      <c r="E23" s="37">
        <f>SUM(E22,E16)</f>
        <v>2045600</v>
      </c>
    </row>
    <row r="24" spans="1:5" ht="19.5" customHeight="1">
      <c r="A24" s="23"/>
      <c r="B24" s="39"/>
      <c r="C24" s="40"/>
      <c r="D24" s="12"/>
      <c r="E24" s="23"/>
    </row>
    <row r="25" spans="1:5" ht="19.5" customHeight="1">
      <c r="A25" s="23"/>
      <c r="B25" s="39"/>
      <c r="C25" s="40"/>
      <c r="D25" s="12"/>
      <c r="E25" s="23"/>
    </row>
    <row r="26" spans="1:5" ht="19.5" customHeight="1">
      <c r="A26" s="23"/>
      <c r="B26" s="39"/>
      <c r="C26" s="40"/>
      <c r="D26" s="12"/>
      <c r="E26" s="23"/>
    </row>
    <row r="27" spans="1:5" ht="19.5" customHeight="1">
      <c r="A27" s="23"/>
      <c r="B27" s="39"/>
      <c r="C27" s="40"/>
      <c r="D27" s="12"/>
      <c r="E27" s="23"/>
    </row>
    <row r="28" spans="1:5" ht="19.5" customHeight="1">
      <c r="A28" s="23"/>
      <c r="B28" s="39"/>
      <c r="C28" s="40"/>
      <c r="D28" s="12"/>
      <c r="E28" s="23"/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9.5" customHeight="1">
      <c r="A43" s="23"/>
      <c r="B43" s="39"/>
      <c r="C43" s="40"/>
      <c r="D43" s="12"/>
      <c r="E43" s="23"/>
    </row>
    <row r="44" spans="1:5" ht="16.5" customHeight="1">
      <c r="A44" s="23"/>
      <c r="B44" s="39"/>
      <c r="C44" s="40" t="s">
        <v>36</v>
      </c>
      <c r="D44" s="12"/>
      <c r="E44" s="23"/>
    </row>
    <row r="45" spans="1:5" ht="16.5" customHeight="1">
      <c r="A45" s="41"/>
      <c r="B45" s="42"/>
      <c r="C45" s="43" t="s">
        <v>34</v>
      </c>
      <c r="D45" s="9"/>
      <c r="E45" s="31"/>
    </row>
    <row r="46" spans="1:5" ht="16.5" customHeight="1">
      <c r="A46" s="11">
        <f>567353</f>
        <v>567353</v>
      </c>
      <c r="B46" s="44">
        <f>148324</f>
        <v>148324</v>
      </c>
      <c r="C46" s="6" t="s">
        <v>32</v>
      </c>
      <c r="D46" s="10" t="s">
        <v>279</v>
      </c>
      <c r="E46" s="44">
        <v>148324</v>
      </c>
    </row>
    <row r="47" spans="1:5" ht="16.5" customHeight="1">
      <c r="A47" s="11">
        <v>2934400</v>
      </c>
      <c r="B47" s="44">
        <f>243060</f>
        <v>243060</v>
      </c>
      <c r="C47" s="6" t="s">
        <v>355</v>
      </c>
      <c r="D47" s="10" t="s">
        <v>285</v>
      </c>
      <c r="E47" s="44">
        <v>243060</v>
      </c>
    </row>
    <row r="48" spans="1:5" ht="16.5" customHeight="1">
      <c r="A48" s="35">
        <f>2121400+1417500+250000+614000</f>
        <v>4402900</v>
      </c>
      <c r="B48" s="44">
        <f>339580</f>
        <v>339580</v>
      </c>
      <c r="C48" s="6" t="s">
        <v>356</v>
      </c>
      <c r="D48" s="10" t="s">
        <v>292</v>
      </c>
      <c r="E48" s="44">
        <v>339580</v>
      </c>
    </row>
    <row r="49" spans="1:5" ht="16.5" customHeight="1">
      <c r="A49" s="91">
        <v>168000</v>
      </c>
      <c r="B49" s="44">
        <f>12260</f>
        <v>12260</v>
      </c>
      <c r="C49" s="6" t="s">
        <v>357</v>
      </c>
      <c r="D49" s="10" t="s">
        <v>292</v>
      </c>
      <c r="E49" s="44">
        <v>12260</v>
      </c>
    </row>
    <row r="50" spans="1:5" ht="16.5" customHeight="1">
      <c r="A50" s="11">
        <v>1529000</v>
      </c>
      <c r="B50" s="44">
        <f>103385</f>
        <v>103385</v>
      </c>
      <c r="C50" s="6" t="s">
        <v>358</v>
      </c>
      <c r="D50" s="10" t="s">
        <v>292</v>
      </c>
      <c r="E50" s="44">
        <v>103385</v>
      </c>
    </row>
    <row r="51" spans="1:5" ht="16.5" customHeight="1">
      <c r="A51" s="11">
        <f>1327000+261000+30000+340000</f>
        <v>1958000</v>
      </c>
      <c r="B51" s="44">
        <f>27320</f>
        <v>27320</v>
      </c>
      <c r="C51" s="6" t="s">
        <v>6</v>
      </c>
      <c r="D51" s="10" t="s">
        <v>301</v>
      </c>
      <c r="E51" s="44">
        <v>27320</v>
      </c>
    </row>
    <row r="52" spans="1:5" ht="16.5" customHeight="1">
      <c r="A52" s="11">
        <f>1365000+240000+688400+505000+445000+120000+430000</f>
        <v>3793400</v>
      </c>
      <c r="B52" s="44">
        <f>51452</f>
        <v>51452</v>
      </c>
      <c r="C52" s="6" t="s">
        <v>7</v>
      </c>
      <c r="D52" s="10" t="s">
        <v>307</v>
      </c>
      <c r="E52" s="44">
        <v>51452</v>
      </c>
    </row>
    <row r="53" spans="1:5" ht="16.5" customHeight="1">
      <c r="A53" s="11">
        <f>525000+1171920+20000+85000</f>
        <v>1801920</v>
      </c>
      <c r="B53" s="44">
        <f>65582</f>
        <v>65582</v>
      </c>
      <c r="C53" s="6" t="s">
        <v>8</v>
      </c>
      <c r="D53" s="10" t="s">
        <v>312</v>
      </c>
      <c r="E53" s="44">
        <v>65582</v>
      </c>
    </row>
    <row r="54" spans="1:5" ht="16.5" customHeight="1">
      <c r="A54" s="11">
        <f>286000+70000</f>
        <v>356000</v>
      </c>
      <c r="B54" s="44">
        <f>20467.57</f>
        <v>20467.57</v>
      </c>
      <c r="C54" s="6" t="s">
        <v>9</v>
      </c>
      <c r="D54" s="10" t="s">
        <v>325</v>
      </c>
      <c r="E54" s="44">
        <v>20467.57</v>
      </c>
    </row>
    <row r="55" spans="1:5" ht="16.5" customHeight="1">
      <c r="A55" s="11">
        <f>49900+105000+83000</f>
        <v>237900</v>
      </c>
      <c r="B55" s="44">
        <f>35000</f>
        <v>35000</v>
      </c>
      <c r="C55" s="6" t="s">
        <v>56</v>
      </c>
      <c r="D55" s="10" t="s">
        <v>331</v>
      </c>
      <c r="E55" s="44">
        <v>35000</v>
      </c>
    </row>
    <row r="56" spans="1:5" ht="16.5" customHeight="1">
      <c r="A56" s="11">
        <f>105000+2276977</f>
        <v>2381977</v>
      </c>
      <c r="B56" s="44">
        <v>0</v>
      </c>
      <c r="C56" s="6" t="s">
        <v>57</v>
      </c>
      <c r="D56" s="10" t="s">
        <v>340</v>
      </c>
      <c r="E56" s="44">
        <v>0</v>
      </c>
    </row>
    <row r="57" spans="1:5" ht="16.5" customHeight="1">
      <c r="A57" s="11">
        <f>81000+2031000+180000</f>
        <v>2292000</v>
      </c>
      <c r="B57" s="44"/>
      <c r="C57" s="6" t="s">
        <v>33</v>
      </c>
      <c r="D57" s="10" t="s">
        <v>344</v>
      </c>
      <c r="E57" s="44"/>
    </row>
    <row r="58" spans="1:5" ht="16.5" customHeight="1">
      <c r="A58" s="37">
        <f>SUM(A46:A57)</f>
        <v>22422850</v>
      </c>
      <c r="B58" s="45">
        <f>SUM(B46:B57)</f>
        <v>1046430.57</v>
      </c>
      <c r="C58" s="6"/>
      <c r="D58" s="10"/>
      <c r="E58" s="37">
        <f>SUM(E46:E57)</f>
        <v>1046430.57</v>
      </c>
    </row>
    <row r="59" spans="1:5" ht="16.5" customHeight="1">
      <c r="A59" s="11"/>
      <c r="B59" s="44">
        <f>500</f>
        <v>500</v>
      </c>
      <c r="C59" s="6" t="s">
        <v>37</v>
      </c>
      <c r="D59" s="10" t="s">
        <v>371</v>
      </c>
      <c r="E59" s="11">
        <v>500</v>
      </c>
    </row>
    <row r="60" spans="1:5" ht="16.5" customHeight="1">
      <c r="A60" s="11"/>
      <c r="B60" s="44">
        <f>78000</f>
        <v>78000</v>
      </c>
      <c r="C60" s="6" t="s">
        <v>360</v>
      </c>
      <c r="D60" s="10" t="s">
        <v>372</v>
      </c>
      <c r="E60" s="44">
        <v>78000</v>
      </c>
    </row>
    <row r="61" spans="1:5" ht="16.5" customHeight="1">
      <c r="A61" s="11"/>
      <c r="B61" s="44">
        <f>327639.36</f>
        <v>327639.36</v>
      </c>
      <c r="C61" s="6" t="s">
        <v>143</v>
      </c>
      <c r="D61" s="10" t="s">
        <v>373</v>
      </c>
      <c r="E61" s="44">
        <v>327639.36</v>
      </c>
    </row>
    <row r="62" spans="1:5" ht="16.5" customHeight="1">
      <c r="A62" s="11"/>
      <c r="B62" s="44">
        <f>185510.52</f>
        <v>185510.52</v>
      </c>
      <c r="C62" s="6" t="s">
        <v>144</v>
      </c>
      <c r="D62" s="10" t="s">
        <v>397</v>
      </c>
      <c r="E62" s="44">
        <v>185510.52</v>
      </c>
    </row>
    <row r="63" spans="1:5" ht="16.5" customHeight="1">
      <c r="A63" s="11"/>
      <c r="B63" s="44">
        <f>1240865</f>
        <v>1240865</v>
      </c>
      <c r="C63" s="6" t="s">
        <v>481</v>
      </c>
      <c r="D63" s="10" t="s">
        <v>398</v>
      </c>
      <c r="E63" s="44">
        <v>1240865</v>
      </c>
    </row>
    <row r="64" spans="1:5" ht="16.5" customHeight="1">
      <c r="A64" s="11"/>
      <c r="B64" s="36">
        <f>SUM(B59:B63)</f>
        <v>1832514.88</v>
      </c>
      <c r="C64" s="6"/>
      <c r="D64" s="10"/>
      <c r="E64" s="37">
        <f>SUM(E59:E63)</f>
        <v>1832514.88</v>
      </c>
    </row>
    <row r="65" spans="1:5" ht="16.5" customHeight="1">
      <c r="A65" s="11"/>
      <c r="B65" s="31">
        <f>B58+B64</f>
        <v>2878945.4499999997</v>
      </c>
      <c r="C65" s="8"/>
      <c r="D65" s="10"/>
      <c r="E65" s="31">
        <f>E58+E64</f>
        <v>2878945.4499999997</v>
      </c>
    </row>
    <row r="66" spans="1:5" ht="16.5" customHeight="1">
      <c r="A66" s="11"/>
      <c r="B66" s="36">
        <f>B23-B65</f>
        <v>-833345.4499999997</v>
      </c>
      <c r="C66" s="6"/>
      <c r="D66" s="10"/>
      <c r="E66" s="37">
        <f>E23-E65</f>
        <v>-833345.4499999997</v>
      </c>
    </row>
    <row r="67" spans="1:5" ht="16.5" customHeight="1" thickBot="1">
      <c r="A67" s="90"/>
      <c r="B67" s="46">
        <f>B7+B66</f>
        <v>32081538.68</v>
      </c>
      <c r="C67" s="47"/>
      <c r="D67" s="89"/>
      <c r="E67" s="46">
        <f>E7+E66</f>
        <v>32081538.68</v>
      </c>
    </row>
    <row r="68" spans="1:5" ht="16.5" customHeight="1" thickTop="1">
      <c r="A68" s="23"/>
      <c r="B68" s="39"/>
      <c r="C68" s="47"/>
      <c r="D68" s="12"/>
      <c r="E68" s="39"/>
    </row>
    <row r="69" spans="1:5" ht="16.5" customHeight="1">
      <c r="A69" s="6" t="s">
        <v>12</v>
      </c>
      <c r="B69" s="16"/>
      <c r="C69" s="22"/>
      <c r="D69" s="22"/>
      <c r="E69" s="22"/>
    </row>
    <row r="70" spans="1:5" ht="16.5" customHeight="1">
      <c r="A70" s="48" t="s">
        <v>13</v>
      </c>
      <c r="B70" s="16"/>
      <c r="C70" s="22"/>
      <c r="D70" s="22"/>
      <c r="E70" s="21"/>
    </row>
    <row r="71" spans="1:5" ht="16.5" customHeight="1">
      <c r="A71" s="48"/>
      <c r="B71" s="16"/>
      <c r="C71" s="22"/>
      <c r="D71" s="22"/>
      <c r="E71" s="21"/>
    </row>
    <row r="72" spans="1:5" ht="16.5" customHeight="1">
      <c r="A72" s="48"/>
      <c r="B72" s="16"/>
      <c r="C72" s="22"/>
      <c r="D72" s="22"/>
      <c r="E72" s="21"/>
    </row>
    <row r="73" spans="1:5" ht="16.5" customHeight="1">
      <c r="A73" s="289" t="s">
        <v>16</v>
      </c>
      <c r="B73" s="289"/>
      <c r="C73" s="289"/>
      <c r="D73" s="289"/>
      <c r="E73" s="289"/>
    </row>
    <row r="74" spans="1:5" ht="16.5" customHeight="1">
      <c r="A74" s="289" t="s">
        <v>95</v>
      </c>
      <c r="B74" s="289"/>
      <c r="C74" s="289"/>
      <c r="D74" s="289"/>
      <c r="E74" s="289"/>
    </row>
    <row r="75" spans="1:5" ht="16.5" customHeight="1">
      <c r="A75" s="8"/>
      <c r="B75" s="8"/>
      <c r="C75" s="8"/>
      <c r="D75" s="8"/>
      <c r="E75" s="8"/>
    </row>
    <row r="76" spans="1:5" ht="16.5" customHeight="1">
      <c r="A76" s="289" t="s">
        <v>14</v>
      </c>
      <c r="B76" s="289"/>
      <c r="C76" s="289"/>
      <c r="D76" s="289"/>
      <c r="E76" s="289"/>
    </row>
    <row r="77" spans="1:5" ht="16.5" customHeight="1">
      <c r="A77" s="8"/>
      <c r="B77" s="8"/>
      <c r="C77" s="8"/>
      <c r="D77" s="8"/>
      <c r="E77" s="8"/>
    </row>
    <row r="78" spans="1:5" ht="16.5" customHeight="1">
      <c r="A78" s="6"/>
      <c r="B78" s="16"/>
      <c r="C78" s="22"/>
      <c r="D78" s="22"/>
      <c r="E78" s="6"/>
    </row>
    <row r="79" spans="1:5" ht="16.5" customHeight="1">
      <c r="A79" s="289" t="s">
        <v>133</v>
      </c>
      <c r="B79" s="289"/>
      <c r="C79" s="289"/>
      <c r="D79" s="289"/>
      <c r="E79" s="289"/>
    </row>
    <row r="80" spans="1:5" ht="16.5" customHeight="1">
      <c r="A80" s="289" t="s">
        <v>15</v>
      </c>
      <c r="B80" s="289"/>
      <c r="C80" s="289"/>
      <c r="D80" s="289"/>
      <c r="E80" s="289"/>
    </row>
    <row r="81" spans="1:5" ht="16.5" customHeight="1">
      <c r="A81" s="290">
        <v>240270</v>
      </c>
      <c r="B81" s="290"/>
      <c r="C81" s="290"/>
      <c r="D81" s="290"/>
      <c r="E81" s="290"/>
    </row>
    <row r="82" spans="1:5" ht="18" customHeight="1">
      <c r="A82" s="199"/>
      <c r="B82" s="199"/>
      <c r="C82" s="199"/>
      <c r="D82" s="199"/>
      <c r="E82" s="199"/>
    </row>
    <row r="83" spans="1:5" ht="18" customHeight="1">
      <c r="A83" s="199"/>
      <c r="B83" s="199"/>
      <c r="C83" s="199"/>
      <c r="D83" s="199"/>
      <c r="E83" s="199"/>
    </row>
    <row r="84" spans="1:5" ht="18" customHeight="1">
      <c r="A84" s="199"/>
      <c r="B84" s="199"/>
      <c r="C84" s="199"/>
      <c r="D84" s="199"/>
      <c r="E84" s="199"/>
    </row>
    <row r="85" spans="1:5" ht="18" customHeight="1">
      <c r="A85" s="199"/>
      <c r="B85" s="199"/>
      <c r="C85" s="199"/>
      <c r="D85" s="199"/>
      <c r="E85" s="199"/>
    </row>
    <row r="86" spans="1:5" ht="18" customHeight="1">
      <c r="A86" s="199"/>
      <c r="B86" s="199"/>
      <c r="C86" s="199"/>
      <c r="D86" s="199"/>
      <c r="E86" s="199"/>
    </row>
    <row r="87" spans="1:5" ht="18" customHeight="1">
      <c r="A87" s="199"/>
      <c r="B87" s="199"/>
      <c r="C87" s="199"/>
      <c r="D87" s="199"/>
      <c r="E87" s="199"/>
    </row>
    <row r="88" spans="1:5" ht="18" customHeight="1">
      <c r="A88" s="199"/>
      <c r="B88" s="199"/>
      <c r="C88" s="199"/>
      <c r="D88" s="199"/>
      <c r="E88" s="199"/>
    </row>
    <row r="89" spans="1:5" ht="18" customHeight="1">
      <c r="A89" s="199"/>
      <c r="B89" s="199"/>
      <c r="C89" s="199"/>
      <c r="D89" s="199"/>
      <c r="E89" s="199"/>
    </row>
    <row r="90" spans="1:5" ht="18" customHeight="1">
      <c r="A90" s="199"/>
      <c r="B90" s="199"/>
      <c r="C90" s="199"/>
      <c r="D90" s="199"/>
      <c r="E90" s="199"/>
    </row>
    <row r="91" spans="1:5" ht="19.5" customHeight="1">
      <c r="A91" s="288" t="s">
        <v>482</v>
      </c>
      <c r="B91" s="288"/>
      <c r="C91" s="288"/>
      <c r="D91" s="288"/>
      <c r="E91" s="288"/>
    </row>
    <row r="92" spans="1:5" ht="19.5" customHeight="1">
      <c r="A92" s="288" t="s">
        <v>17</v>
      </c>
      <c r="B92" s="288"/>
      <c r="C92" s="288"/>
      <c r="D92" s="288"/>
      <c r="E92" s="288"/>
    </row>
    <row r="93" spans="1:5" ht="19.5" customHeight="1">
      <c r="A93" s="285" t="s">
        <v>135</v>
      </c>
      <c r="B93" s="285"/>
      <c r="C93" s="25"/>
      <c r="D93" s="25"/>
      <c r="E93" s="47">
        <v>4241.36</v>
      </c>
    </row>
    <row r="94" spans="1:5" ht="19.5" customHeight="1">
      <c r="A94" s="51" t="s">
        <v>18</v>
      </c>
      <c r="B94" s="51"/>
      <c r="C94" s="25"/>
      <c r="D94" s="25"/>
      <c r="E94" s="47">
        <v>8400</v>
      </c>
    </row>
    <row r="95" spans="1:5" ht="19.5" customHeight="1">
      <c r="A95" s="51" t="s">
        <v>404</v>
      </c>
      <c r="B95" s="51"/>
      <c r="C95" s="25"/>
      <c r="D95" s="25"/>
      <c r="E95" s="47">
        <v>3.95</v>
      </c>
    </row>
    <row r="96" spans="1:5" ht="19.5" customHeight="1">
      <c r="A96" s="51" t="s">
        <v>19</v>
      </c>
      <c r="B96" s="51"/>
      <c r="C96" s="25"/>
      <c r="D96" s="25"/>
      <c r="E96" s="47">
        <v>4.74</v>
      </c>
    </row>
    <row r="97" spans="1:5" ht="19.5" customHeight="1">
      <c r="A97" s="49" t="s">
        <v>457</v>
      </c>
      <c r="B97" s="6"/>
      <c r="C97" s="6"/>
      <c r="D97" s="16"/>
      <c r="E97" s="49">
        <v>5989</v>
      </c>
    </row>
    <row r="98" spans="1:5" ht="19.5" customHeight="1">
      <c r="A98" s="285" t="s">
        <v>458</v>
      </c>
      <c r="B98" s="285"/>
      <c r="C98" s="285"/>
      <c r="D98" s="16"/>
      <c r="E98" s="49">
        <v>25000</v>
      </c>
    </row>
    <row r="99" spans="1:5" ht="19.5" customHeight="1">
      <c r="A99" s="25" t="s">
        <v>20</v>
      </c>
      <c r="B99" s="25"/>
      <c r="C99" s="6"/>
      <c r="D99" s="16"/>
      <c r="E99" s="50">
        <f>SUM(E93:E98)</f>
        <v>43639.05</v>
      </c>
    </row>
    <row r="100" spans="1:5" ht="19.5" customHeight="1">
      <c r="A100" s="25"/>
      <c r="B100" s="25"/>
      <c r="C100" s="6"/>
      <c r="D100" s="16"/>
      <c r="E100" s="50"/>
    </row>
    <row r="101" spans="1:5" ht="19.5" customHeight="1">
      <c r="A101" s="25"/>
      <c r="B101" s="25"/>
      <c r="C101" s="25"/>
      <c r="D101" s="16"/>
      <c r="E101" s="50"/>
    </row>
    <row r="102" spans="1:5" ht="19.5" customHeight="1">
      <c r="A102" s="287" t="s">
        <v>460</v>
      </c>
      <c r="B102" s="287"/>
      <c r="C102" s="287"/>
      <c r="D102" s="287"/>
      <c r="E102" s="287"/>
    </row>
    <row r="103" spans="1:5" ht="19.5" customHeight="1">
      <c r="A103" s="288" t="s">
        <v>17</v>
      </c>
      <c r="B103" s="288"/>
      <c r="C103" s="288"/>
      <c r="D103" s="288"/>
      <c r="E103" s="288"/>
    </row>
    <row r="104" spans="1:5" ht="19.5" customHeight="1">
      <c r="A104" s="285" t="s">
        <v>135</v>
      </c>
      <c r="B104" s="285"/>
      <c r="C104" s="25"/>
      <c r="D104" s="25"/>
      <c r="E104" s="47">
        <v>4241.36</v>
      </c>
    </row>
    <row r="105" spans="1:5" ht="19.5" customHeight="1">
      <c r="A105" s="51" t="s">
        <v>18</v>
      </c>
      <c r="B105" s="51"/>
      <c r="C105" s="25"/>
      <c r="D105" s="25"/>
      <c r="E105" s="47">
        <v>6109</v>
      </c>
    </row>
    <row r="106" spans="1:5" ht="19.5" customHeight="1">
      <c r="A106" s="51" t="s">
        <v>456</v>
      </c>
      <c r="B106" s="51"/>
      <c r="C106" s="25"/>
      <c r="D106" s="25"/>
      <c r="E106" s="47">
        <v>500</v>
      </c>
    </row>
    <row r="107" spans="1:5" ht="19.5" customHeight="1">
      <c r="A107" s="51" t="s">
        <v>457</v>
      </c>
      <c r="B107" s="51"/>
      <c r="C107" s="25"/>
      <c r="D107" s="25"/>
      <c r="E107" s="47">
        <v>5989</v>
      </c>
    </row>
    <row r="108" spans="1:5" ht="19.5" customHeight="1">
      <c r="A108" s="285" t="s">
        <v>458</v>
      </c>
      <c r="B108" s="285"/>
      <c r="C108" s="285"/>
      <c r="D108" s="16"/>
      <c r="E108" s="49">
        <v>25000</v>
      </c>
    </row>
    <row r="109" spans="1:5" ht="19.5" customHeight="1">
      <c r="A109" s="285" t="s">
        <v>459</v>
      </c>
      <c r="B109" s="285"/>
      <c r="C109" s="285"/>
      <c r="D109" s="16"/>
      <c r="E109" s="49">
        <v>285800</v>
      </c>
    </row>
    <row r="110" spans="1:5" ht="19.5" customHeight="1">
      <c r="A110" s="25" t="s">
        <v>20</v>
      </c>
      <c r="B110" s="25"/>
      <c r="C110" s="25"/>
      <c r="D110" s="16"/>
      <c r="E110" s="52">
        <f>SUM(E104:E109)</f>
        <v>327639.36</v>
      </c>
    </row>
    <row r="111" spans="1:5" ht="19.5" customHeight="1">
      <c r="A111" s="25"/>
      <c r="B111" s="25"/>
      <c r="C111" s="25"/>
      <c r="D111" s="16"/>
      <c r="E111" s="52"/>
    </row>
    <row r="112" spans="1:5" ht="19.5" customHeight="1">
      <c r="A112" s="25"/>
      <c r="B112" s="25"/>
      <c r="C112" s="25"/>
      <c r="D112" s="16"/>
      <c r="E112" s="52"/>
    </row>
    <row r="113" spans="1:5" ht="19.5" customHeight="1">
      <c r="A113" s="288" t="s">
        <v>461</v>
      </c>
      <c r="B113" s="288"/>
      <c r="C113" s="288"/>
      <c r="D113" s="288"/>
      <c r="E113" s="288"/>
    </row>
    <row r="114" spans="1:5" ht="19.5" customHeight="1">
      <c r="A114" s="288" t="s">
        <v>145</v>
      </c>
      <c r="B114" s="288"/>
      <c r="C114" s="288"/>
      <c r="D114" s="288"/>
      <c r="E114" s="288"/>
    </row>
    <row r="115" spans="1:5" ht="19.5" customHeight="1">
      <c r="A115" s="51" t="s">
        <v>467</v>
      </c>
      <c r="B115" s="51"/>
      <c r="C115" s="25"/>
      <c r="D115" s="25"/>
      <c r="E115" s="47">
        <v>7000</v>
      </c>
    </row>
    <row r="116" spans="1:5" ht="19.5" customHeight="1">
      <c r="A116" s="51" t="s">
        <v>468</v>
      </c>
      <c r="B116" s="51"/>
      <c r="C116" s="25"/>
      <c r="D116" s="25"/>
      <c r="E116" s="47">
        <v>5000</v>
      </c>
    </row>
    <row r="117" spans="1:5" ht="19.5" customHeight="1">
      <c r="A117" s="51" t="s">
        <v>469</v>
      </c>
      <c r="B117" s="47"/>
      <c r="C117" s="47"/>
      <c r="D117" s="47"/>
      <c r="E117" s="47">
        <v>70630.56</v>
      </c>
    </row>
    <row r="118" spans="1:5" ht="19.5" customHeight="1">
      <c r="A118" s="51" t="s">
        <v>470</v>
      </c>
      <c r="B118" s="51"/>
      <c r="C118" s="25"/>
      <c r="D118" s="25"/>
      <c r="E118" s="47">
        <v>11771.76</v>
      </c>
    </row>
    <row r="119" spans="1:5" ht="19.5" customHeight="1">
      <c r="A119" s="51" t="s">
        <v>471</v>
      </c>
      <c r="B119" s="51"/>
      <c r="C119" s="51"/>
      <c r="D119" s="25"/>
      <c r="E119" s="47">
        <v>26611.2</v>
      </c>
    </row>
    <row r="120" spans="1:5" ht="19.5" customHeight="1">
      <c r="A120" s="285" t="s">
        <v>472</v>
      </c>
      <c r="B120" s="285"/>
      <c r="C120" s="285"/>
      <c r="D120" s="25"/>
      <c r="E120" s="47">
        <v>9676.8</v>
      </c>
    </row>
    <row r="121" spans="1:5" ht="19.5" customHeight="1">
      <c r="A121" s="51" t="s">
        <v>462</v>
      </c>
      <c r="B121" s="51"/>
      <c r="C121" s="51"/>
      <c r="D121" s="25"/>
      <c r="E121" s="47">
        <v>8970</v>
      </c>
    </row>
    <row r="122" spans="1:5" ht="19.5" customHeight="1">
      <c r="A122" s="51" t="s">
        <v>463</v>
      </c>
      <c r="B122" s="51"/>
      <c r="C122" s="51"/>
      <c r="D122" s="25"/>
      <c r="E122" s="47">
        <v>6400.2</v>
      </c>
    </row>
    <row r="123" spans="1:5" ht="19.5" customHeight="1">
      <c r="A123" s="285" t="s">
        <v>464</v>
      </c>
      <c r="B123" s="285"/>
      <c r="C123" s="285"/>
      <c r="D123" s="25"/>
      <c r="E123" s="47">
        <v>18000</v>
      </c>
    </row>
    <row r="124" spans="1:5" ht="19.5" customHeight="1">
      <c r="A124" s="285" t="s">
        <v>465</v>
      </c>
      <c r="B124" s="285"/>
      <c r="C124" s="285"/>
      <c r="D124" s="25"/>
      <c r="E124" s="47">
        <v>12000</v>
      </c>
    </row>
    <row r="125" spans="1:5" ht="19.5" customHeight="1">
      <c r="A125" s="285" t="s">
        <v>466</v>
      </c>
      <c r="B125" s="285"/>
      <c r="C125" s="285"/>
      <c r="D125" s="16"/>
      <c r="E125" s="49">
        <v>9450</v>
      </c>
    </row>
    <row r="126" spans="1:5" ht="19.5" customHeight="1">
      <c r="A126" s="25" t="s">
        <v>20</v>
      </c>
      <c r="B126" s="25"/>
      <c r="C126" s="25"/>
      <c r="D126" s="16"/>
      <c r="E126" s="52">
        <f>SUM(E115:E125)</f>
        <v>185510.52000000002</v>
      </c>
    </row>
    <row r="127" spans="1:5" ht="19.5" customHeight="1">
      <c r="A127" s="287"/>
      <c r="B127" s="287"/>
      <c r="C127" s="287"/>
      <c r="D127" s="287"/>
      <c r="E127" s="287"/>
    </row>
    <row r="128" spans="1:5" ht="19.5" customHeight="1">
      <c r="A128" s="288"/>
      <c r="B128" s="288"/>
      <c r="C128" s="288"/>
      <c r="D128" s="288"/>
      <c r="E128" s="288"/>
    </row>
    <row r="129" spans="1:5" ht="19.5" customHeight="1">
      <c r="A129" s="51"/>
      <c r="B129" s="47"/>
      <c r="C129" s="47"/>
      <c r="D129" s="47"/>
      <c r="E129" s="47"/>
    </row>
    <row r="130" spans="1:5" ht="19.5" customHeight="1">
      <c r="A130" s="51"/>
      <c r="B130" s="51"/>
      <c r="C130" s="25"/>
      <c r="D130" s="25"/>
      <c r="E130" s="47"/>
    </row>
    <row r="131" spans="1:5" ht="19.5" customHeight="1">
      <c r="A131" s="51"/>
      <c r="B131" s="51"/>
      <c r="C131" s="51"/>
      <c r="D131" s="25"/>
      <c r="E131" s="47"/>
    </row>
    <row r="132" spans="1:5" ht="19.5" customHeight="1">
      <c r="A132" s="288" t="s">
        <v>480</v>
      </c>
      <c r="B132" s="288"/>
      <c r="C132" s="288"/>
      <c r="D132" s="288"/>
      <c r="E132" s="288"/>
    </row>
    <row r="133" spans="1:5" ht="19.5" customHeight="1">
      <c r="A133" s="288" t="s">
        <v>473</v>
      </c>
      <c r="B133" s="288"/>
      <c r="C133" s="288"/>
      <c r="D133" s="288"/>
      <c r="E133" s="288"/>
    </row>
    <row r="134" spans="1:5" ht="19.5" customHeight="1">
      <c r="A134" s="285" t="s">
        <v>474</v>
      </c>
      <c r="B134" s="285"/>
      <c r="C134" s="285"/>
      <c r="D134" s="25"/>
      <c r="E134" s="47">
        <v>516117</v>
      </c>
    </row>
    <row r="135" spans="1:5" ht="19.5" customHeight="1">
      <c r="A135" s="285" t="s">
        <v>475</v>
      </c>
      <c r="B135" s="285"/>
      <c r="C135" s="285"/>
      <c r="D135" s="25"/>
      <c r="E135" s="47">
        <v>334432</v>
      </c>
    </row>
    <row r="136" spans="1:5" ht="19.5" customHeight="1">
      <c r="A136" s="285" t="s">
        <v>476</v>
      </c>
      <c r="B136" s="285"/>
      <c r="C136" s="285"/>
      <c r="D136" s="25"/>
      <c r="E136" s="47">
        <v>147554</v>
      </c>
    </row>
    <row r="137" spans="1:5" ht="19.5" customHeight="1">
      <c r="A137" s="285" t="s">
        <v>477</v>
      </c>
      <c r="B137" s="285"/>
      <c r="C137" s="285"/>
      <c r="D137" s="25"/>
      <c r="E137" s="47">
        <v>26550</v>
      </c>
    </row>
    <row r="138" spans="1:5" ht="19.5" customHeight="1">
      <c r="A138" s="285" t="s">
        <v>478</v>
      </c>
      <c r="B138" s="285"/>
      <c r="C138" s="285"/>
      <c r="D138" s="25"/>
      <c r="E138" s="47">
        <v>216212</v>
      </c>
    </row>
    <row r="139" spans="1:5" ht="19.5" customHeight="1">
      <c r="A139" s="286" t="s">
        <v>479</v>
      </c>
      <c r="B139" s="286"/>
      <c r="C139" s="286"/>
      <c r="D139" s="25"/>
      <c r="E139" s="25">
        <f>SUM(E134:E138)</f>
        <v>1240865</v>
      </c>
    </row>
    <row r="140" spans="1:5" ht="19.5" customHeight="1">
      <c r="A140" s="51"/>
      <c r="B140" s="51"/>
      <c r="C140" s="25"/>
      <c r="D140" s="25"/>
      <c r="E140" s="47">
        <v>0</v>
      </c>
    </row>
    <row r="141" spans="1:5" ht="19.5" customHeight="1">
      <c r="A141" s="51"/>
      <c r="B141" s="51"/>
      <c r="C141" s="25"/>
      <c r="D141" s="25"/>
      <c r="E141" s="47">
        <v>0</v>
      </c>
    </row>
    <row r="142" spans="1:5" ht="19.5" customHeight="1">
      <c r="A142" s="51"/>
      <c r="B142" s="51"/>
      <c r="C142" s="25"/>
      <c r="D142" s="25"/>
      <c r="E142" s="47">
        <v>0</v>
      </c>
    </row>
    <row r="143" spans="1:5" ht="19.5" customHeight="1">
      <c r="A143" s="51"/>
      <c r="B143" s="51"/>
      <c r="C143" s="25"/>
      <c r="D143" s="25"/>
      <c r="E143" s="47">
        <v>0</v>
      </c>
    </row>
    <row r="144" spans="1:5" ht="19.5" customHeight="1">
      <c r="A144" s="51"/>
      <c r="B144" s="51"/>
      <c r="C144" s="25"/>
      <c r="D144" s="25"/>
      <c r="E144" s="47">
        <v>0</v>
      </c>
    </row>
    <row r="145" spans="1:5" ht="19.5" customHeight="1">
      <c r="A145" s="51"/>
      <c r="B145" s="51"/>
      <c r="C145" s="25"/>
      <c r="D145" s="25"/>
      <c r="E145" s="47">
        <v>0</v>
      </c>
    </row>
    <row r="146" spans="1:5" ht="19.5" customHeight="1">
      <c r="A146" s="25"/>
      <c r="B146" s="25"/>
      <c r="C146" s="25"/>
      <c r="D146" s="16"/>
      <c r="E146" s="52">
        <v>0</v>
      </c>
    </row>
    <row r="147" spans="1:5" ht="19.5" customHeight="1">
      <c r="A147" s="25"/>
      <c r="B147" s="25"/>
      <c r="C147" s="25"/>
      <c r="D147" s="16"/>
      <c r="E147" s="52"/>
    </row>
    <row r="148" spans="1:5" ht="19.5" customHeight="1">
      <c r="A148" s="25"/>
      <c r="B148" s="25"/>
      <c r="C148" s="25"/>
      <c r="D148" s="16"/>
      <c r="E148" s="52"/>
    </row>
    <row r="149" spans="1:5" ht="19.5" customHeight="1">
      <c r="A149" s="25"/>
      <c r="B149" s="25"/>
      <c r="C149" s="25"/>
      <c r="D149" s="16"/>
      <c r="E149" s="52"/>
    </row>
    <row r="150" spans="1:5" ht="19.5" customHeight="1">
      <c r="A150" s="25"/>
      <c r="B150" s="25"/>
      <c r="C150" s="25"/>
      <c r="D150" s="16"/>
      <c r="E150" s="52"/>
    </row>
    <row r="151" spans="1:5" ht="19.5" customHeight="1">
      <c r="A151" s="25"/>
      <c r="B151" s="25"/>
      <c r="C151" s="25"/>
      <c r="D151" s="16"/>
      <c r="E151" s="52"/>
    </row>
    <row r="152" spans="1:5" ht="19.5" customHeight="1">
      <c r="A152" s="1"/>
      <c r="C152" s="25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3"/>
      <c r="B802" s="3"/>
      <c r="E802" s="5"/>
    </row>
    <row r="803" spans="1:5" ht="19.5" customHeight="1">
      <c r="A803" s="3"/>
      <c r="B803" s="3"/>
      <c r="E803" s="5"/>
    </row>
    <row r="804" spans="1:5" ht="19.5" customHeight="1">
      <c r="A804" s="3"/>
      <c r="B804" s="3"/>
      <c r="E804" s="5"/>
    </row>
    <row r="805" spans="1:5" ht="19.5" customHeight="1">
      <c r="A805" s="3"/>
      <c r="B805" s="3"/>
      <c r="E805" s="5"/>
    </row>
    <row r="806" spans="1:5" ht="19.5" customHeight="1">
      <c r="A806" s="3"/>
      <c r="B806" s="3"/>
      <c r="E806" s="5"/>
    </row>
  </sheetData>
  <sheetProtection/>
  <mergeCells count="36">
    <mergeCell ref="A109:C109"/>
    <mergeCell ref="A124:C124"/>
    <mergeCell ref="C1:E1"/>
    <mergeCell ref="A2:E2"/>
    <mergeCell ref="A3:E3"/>
    <mergeCell ref="A4:B4"/>
    <mergeCell ref="C4:C6"/>
    <mergeCell ref="A73:E73"/>
    <mergeCell ref="A114:E114"/>
    <mergeCell ref="A74:E74"/>
    <mergeCell ref="A76:E76"/>
    <mergeCell ref="A81:E81"/>
    <mergeCell ref="A79:E79"/>
    <mergeCell ref="A80:E80"/>
    <mergeCell ref="A92:E92"/>
    <mergeCell ref="A91:E91"/>
    <mergeCell ref="A128:E128"/>
    <mergeCell ref="A93:B93"/>
    <mergeCell ref="A113:E113"/>
    <mergeCell ref="A102:E102"/>
    <mergeCell ref="A103:E103"/>
    <mergeCell ref="A104:B104"/>
    <mergeCell ref="A98:C98"/>
    <mergeCell ref="A108:C108"/>
    <mergeCell ref="A123:C123"/>
    <mergeCell ref="A120:C120"/>
    <mergeCell ref="A135:C135"/>
    <mergeCell ref="A136:C136"/>
    <mergeCell ref="A137:C137"/>
    <mergeCell ref="A138:C138"/>
    <mergeCell ref="A139:C139"/>
    <mergeCell ref="A125:C125"/>
    <mergeCell ref="A127:E127"/>
    <mergeCell ref="A132:E132"/>
    <mergeCell ref="A133:E133"/>
    <mergeCell ref="A134:C134"/>
  </mergeCells>
  <printOptions/>
  <pageMargins left="0.2362204724409449" right="0.11811023622047245" top="0.35433070866141736" bottom="0.11811023622047245" header="0.11811023622047245" footer="0.1574803149606299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42" sqref="A42:F42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00390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87"/>
      <c r="B1" s="287"/>
      <c r="C1" s="287"/>
      <c r="D1" s="287"/>
      <c r="E1" s="287"/>
      <c r="F1" s="287"/>
    </row>
    <row r="2" spans="1:6" ht="18.75">
      <c r="A2" s="287" t="s">
        <v>450</v>
      </c>
      <c r="B2" s="287"/>
      <c r="C2" s="287"/>
      <c r="D2" s="287"/>
      <c r="E2" s="287"/>
      <c r="F2" s="287"/>
    </row>
    <row r="3" spans="1:6" ht="18.75">
      <c r="A3" s="304" t="s">
        <v>80</v>
      </c>
      <c r="B3" s="304"/>
      <c r="C3" s="304"/>
      <c r="D3" s="304"/>
      <c r="E3" s="304"/>
      <c r="F3" s="304"/>
    </row>
    <row r="4" spans="1:6" ht="18.75">
      <c r="A4" s="299" t="s">
        <v>11</v>
      </c>
      <c r="B4" s="300"/>
      <c r="C4" s="301"/>
      <c r="D4" s="301"/>
      <c r="E4" s="301"/>
      <c r="F4" s="302"/>
    </row>
    <row r="5" spans="1:6" ht="18.75">
      <c r="A5" s="298" t="s">
        <v>25</v>
      </c>
      <c r="B5" s="297" t="s">
        <v>3</v>
      </c>
      <c r="C5" s="297" t="s">
        <v>23</v>
      </c>
      <c r="D5" s="297" t="s">
        <v>38</v>
      </c>
      <c r="E5" s="297" t="s">
        <v>39</v>
      </c>
      <c r="F5" s="144" t="s">
        <v>146</v>
      </c>
    </row>
    <row r="6" spans="1:6" ht="18.75">
      <c r="A6" s="298"/>
      <c r="B6" s="297"/>
      <c r="C6" s="297"/>
      <c r="D6" s="297"/>
      <c r="E6" s="297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364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261700</v>
      </c>
      <c r="D9" s="231">
        <v>0</v>
      </c>
      <c r="E9" s="91">
        <v>0</v>
      </c>
      <c r="F9" s="91">
        <f>E9-C9</f>
        <v>-261700</v>
      </c>
    </row>
    <row r="10" spans="1:6" ht="18.75">
      <c r="A10" s="160" t="s">
        <v>43</v>
      </c>
      <c r="B10" s="146">
        <v>411002</v>
      </c>
      <c r="C10" s="91">
        <v>114000</v>
      </c>
      <c r="D10" s="229">
        <v>37.38</v>
      </c>
      <c r="E10" s="91">
        <f>37.38</f>
        <v>37.38</v>
      </c>
      <c r="F10" s="91">
        <f>E10-C10</f>
        <v>-113962.62</v>
      </c>
    </row>
    <row r="11" spans="1:6" ht="18.75">
      <c r="A11" s="160" t="s">
        <v>58</v>
      </c>
      <c r="B11" s="146">
        <v>411003</v>
      </c>
      <c r="C11" s="91">
        <v>12000</v>
      </c>
      <c r="D11" s="229">
        <v>0</v>
      </c>
      <c r="E11" s="91">
        <v>0</v>
      </c>
      <c r="F11" s="91">
        <f>E11-C11</f>
        <v>-12000</v>
      </c>
    </row>
    <row r="12" spans="1:6" ht="19.5" thickBot="1">
      <c r="A12" s="161" t="s">
        <v>20</v>
      </c>
      <c r="B12" s="6"/>
      <c r="C12" s="148">
        <f>SUM(C9:C11)</f>
        <v>387700</v>
      </c>
      <c r="D12" s="148">
        <f>SUM(D9:D11)</f>
        <v>37.38</v>
      </c>
      <c r="E12" s="148">
        <f>SUM(E9:E11)</f>
        <v>37.38</v>
      </c>
      <c r="F12" s="148">
        <f>SUM(F9:F11)</f>
        <v>-387662.62</v>
      </c>
    </row>
    <row r="13" spans="1:6" ht="19.5" thickTop="1">
      <c r="A13" s="162" t="s">
        <v>44</v>
      </c>
      <c r="B13" s="143" t="s">
        <v>365</v>
      </c>
      <c r="C13" s="91"/>
      <c r="D13" s="91"/>
      <c r="E13" s="91"/>
      <c r="F13" s="91"/>
    </row>
    <row r="14" spans="1:6" ht="18.75">
      <c r="A14" s="266" t="s">
        <v>451</v>
      </c>
      <c r="B14" s="16" t="s">
        <v>452</v>
      </c>
      <c r="C14" s="91">
        <v>1300</v>
      </c>
      <c r="D14" s="91">
        <v>19.4</v>
      </c>
      <c r="E14" s="91">
        <f>19.4</f>
        <v>19.4</v>
      </c>
      <c r="F14" s="91">
        <f>E14-C14</f>
        <v>-1280.6</v>
      </c>
    </row>
    <row r="15" spans="1:6" ht="18.75">
      <c r="A15" s="160" t="s">
        <v>45</v>
      </c>
      <c r="B15" s="146">
        <v>412106</v>
      </c>
      <c r="C15" s="91">
        <v>1600</v>
      </c>
      <c r="D15" s="91">
        <v>52</v>
      </c>
      <c r="E15" s="91">
        <f>52</f>
        <v>52</v>
      </c>
      <c r="F15" s="91">
        <f aca="true" t="shared" si="0" ref="F15:F23">E15-C15</f>
        <v>-1548</v>
      </c>
    </row>
    <row r="16" spans="1:6" ht="18.75">
      <c r="A16" s="160" t="s">
        <v>375</v>
      </c>
      <c r="B16" s="146">
        <v>412111</v>
      </c>
      <c r="C16" s="91">
        <v>150</v>
      </c>
      <c r="D16" s="231">
        <v>0</v>
      </c>
      <c r="E16" s="91">
        <v>0</v>
      </c>
      <c r="F16" s="91">
        <f t="shared" si="0"/>
        <v>-150</v>
      </c>
    </row>
    <row r="17" spans="1:6" ht="18.75">
      <c r="A17" s="160" t="s">
        <v>82</v>
      </c>
      <c r="B17" s="146">
        <v>412128</v>
      </c>
      <c r="C17" s="91">
        <v>300</v>
      </c>
      <c r="D17" s="91">
        <v>0</v>
      </c>
      <c r="E17" s="91">
        <v>0</v>
      </c>
      <c r="F17" s="91">
        <f t="shared" si="0"/>
        <v>-300</v>
      </c>
    </row>
    <row r="18" spans="1:6" ht="18.75">
      <c r="A18" s="160" t="s">
        <v>138</v>
      </c>
      <c r="B18" s="10" t="s">
        <v>376</v>
      </c>
      <c r="C18" s="91">
        <v>82000</v>
      </c>
      <c r="D18" s="91">
        <v>1200</v>
      </c>
      <c r="E18" s="91">
        <f>1200</f>
        <v>1200</v>
      </c>
      <c r="F18" s="91">
        <f t="shared" si="0"/>
        <v>-80800</v>
      </c>
    </row>
    <row r="19" spans="1:6" ht="18.75">
      <c r="A19" s="160" t="s">
        <v>139</v>
      </c>
      <c r="B19" s="10" t="s">
        <v>377</v>
      </c>
      <c r="C19" s="91">
        <v>4000</v>
      </c>
      <c r="D19" s="231">
        <v>0</v>
      </c>
      <c r="E19" s="91">
        <v>0</v>
      </c>
      <c r="F19" s="91">
        <f t="shared" si="0"/>
        <v>-4000</v>
      </c>
    </row>
    <row r="20" spans="1:6" ht="18.75">
      <c r="A20" s="160" t="s">
        <v>378</v>
      </c>
      <c r="B20" s="10" t="s">
        <v>379</v>
      </c>
      <c r="C20" s="91">
        <v>60000</v>
      </c>
      <c r="D20" s="91">
        <v>0</v>
      </c>
      <c r="E20" s="91">
        <v>0</v>
      </c>
      <c r="F20" s="91">
        <f t="shared" si="0"/>
        <v>-60000</v>
      </c>
    </row>
    <row r="21" spans="1:6" ht="18.75">
      <c r="A21" s="160" t="s">
        <v>140</v>
      </c>
      <c r="B21" s="10" t="s">
        <v>380</v>
      </c>
      <c r="C21" s="91">
        <v>17000</v>
      </c>
      <c r="D21" s="91">
        <v>2170</v>
      </c>
      <c r="E21" s="91">
        <f>2170</f>
        <v>2170</v>
      </c>
      <c r="F21" s="91">
        <f t="shared" si="0"/>
        <v>-14830</v>
      </c>
    </row>
    <row r="22" spans="1:6" ht="18.75">
      <c r="A22" s="160" t="s">
        <v>141</v>
      </c>
      <c r="B22" s="10" t="s">
        <v>381</v>
      </c>
      <c r="C22" s="91">
        <v>400</v>
      </c>
      <c r="D22" s="91">
        <v>20</v>
      </c>
      <c r="E22" s="91">
        <f>20</f>
        <v>20</v>
      </c>
      <c r="F22" s="91">
        <f t="shared" si="0"/>
        <v>-380</v>
      </c>
    </row>
    <row r="23" spans="1:6" ht="19.5" thickBot="1">
      <c r="A23" s="161" t="s">
        <v>20</v>
      </c>
      <c r="B23" s="149"/>
      <c r="C23" s="148">
        <f>SUM(C14:C22)</f>
        <v>166750</v>
      </c>
      <c r="D23" s="148">
        <f>SUM(D14:D22)</f>
        <v>3461.4</v>
      </c>
      <c r="E23" s="148">
        <f>SUM(E14:E22)</f>
        <v>3461.4</v>
      </c>
      <c r="F23" s="148">
        <f t="shared" si="0"/>
        <v>-163288.6</v>
      </c>
    </row>
    <row r="24" spans="1:6" ht="19.5" thickTop="1">
      <c r="A24" s="163" t="s">
        <v>46</v>
      </c>
      <c r="B24" s="85" t="s">
        <v>366</v>
      </c>
      <c r="C24" s="91"/>
      <c r="D24" s="91"/>
      <c r="E24" s="91"/>
      <c r="F24" s="91"/>
    </row>
    <row r="25" spans="1:6" ht="18.75">
      <c r="A25" s="160" t="s">
        <v>47</v>
      </c>
      <c r="B25" s="10" t="s">
        <v>382</v>
      </c>
      <c r="C25" s="91">
        <v>260000</v>
      </c>
      <c r="D25" s="91">
        <v>6709.96</v>
      </c>
      <c r="E25" s="91">
        <f>6709.96</f>
        <v>6709.96</v>
      </c>
      <c r="F25" s="91">
        <f>E25-C25</f>
        <v>-253290.04</v>
      </c>
    </row>
    <row r="26" spans="1:6" ht="19.5" thickBot="1">
      <c r="A26" s="161" t="s">
        <v>20</v>
      </c>
      <c r="B26" s="149"/>
      <c r="C26" s="148">
        <f>SUM(C25)</f>
        <v>260000</v>
      </c>
      <c r="D26" s="148">
        <f>SUM(D25)</f>
        <v>6709.96</v>
      </c>
      <c r="E26" s="148">
        <f>SUM(E25)</f>
        <v>6709.96</v>
      </c>
      <c r="F26" s="148">
        <f>SUM(F25)</f>
        <v>-253290.04</v>
      </c>
    </row>
    <row r="27" spans="1:6" ht="19.5" thickTop="1">
      <c r="A27" s="163" t="s">
        <v>48</v>
      </c>
      <c r="B27" s="85" t="s">
        <v>367</v>
      </c>
      <c r="C27" s="91"/>
      <c r="D27" s="91"/>
      <c r="E27" s="91"/>
      <c r="F27" s="91"/>
    </row>
    <row r="28" spans="1:6" ht="18.75">
      <c r="A28" s="160" t="s">
        <v>49</v>
      </c>
      <c r="B28" s="10" t="s">
        <v>383</v>
      </c>
      <c r="C28" s="91">
        <v>100000</v>
      </c>
      <c r="D28" s="150">
        <v>20000</v>
      </c>
      <c r="E28" s="91">
        <f>20000</f>
        <v>20000</v>
      </c>
      <c r="F28" s="91">
        <f>E28-C28</f>
        <v>-80000</v>
      </c>
    </row>
    <row r="29" spans="1:6" ht="18.75">
      <c r="A29" s="160" t="s">
        <v>83</v>
      </c>
      <c r="B29" s="10" t="s">
        <v>384</v>
      </c>
      <c r="C29" s="91">
        <v>100</v>
      </c>
      <c r="D29" s="231">
        <v>0</v>
      </c>
      <c r="E29" s="91">
        <v>0</v>
      </c>
      <c r="F29" s="91">
        <f>E29-C29</f>
        <v>-100</v>
      </c>
    </row>
    <row r="30" spans="1:6" ht="18.75">
      <c r="A30" s="160" t="s">
        <v>84</v>
      </c>
      <c r="B30" s="10" t="s">
        <v>385</v>
      </c>
      <c r="C30" s="91">
        <v>700</v>
      </c>
      <c r="D30" s="150"/>
      <c r="E30" s="91"/>
      <c r="F30" s="91">
        <f>E30-C30</f>
        <v>-700</v>
      </c>
    </row>
    <row r="31" spans="1:6" ht="19.5" thickBot="1">
      <c r="A31" s="161" t="s">
        <v>20</v>
      </c>
      <c r="B31" s="10"/>
      <c r="C31" s="148">
        <f>SUM(C28:C30)</f>
        <v>100800</v>
      </c>
      <c r="D31" s="148">
        <f>SUM(D28:D30)</f>
        <v>20000</v>
      </c>
      <c r="E31" s="148">
        <f>SUM(E28:E30)</f>
        <v>20000</v>
      </c>
      <c r="F31" s="148">
        <f>SUM(F28:F30)</f>
        <v>-80800</v>
      </c>
    </row>
    <row r="32" spans="1:6" ht="19.5" thickTop="1">
      <c r="A32" s="159" t="s">
        <v>81</v>
      </c>
      <c r="B32" s="85" t="s">
        <v>368</v>
      </c>
      <c r="C32" s="91"/>
      <c r="D32" s="91"/>
      <c r="E32" s="91"/>
      <c r="F32" s="91"/>
    </row>
    <row r="33" spans="1:6" ht="18.75">
      <c r="A33" s="160" t="s">
        <v>85</v>
      </c>
      <c r="B33" s="10" t="s">
        <v>386</v>
      </c>
      <c r="C33" s="91">
        <v>500</v>
      </c>
      <c r="D33" s="231">
        <v>0</v>
      </c>
      <c r="E33" s="231">
        <v>0</v>
      </c>
      <c r="F33" s="91">
        <f>E33-C33</f>
        <v>-500</v>
      </c>
    </row>
    <row r="34" spans="1:6" ht="19.5" thickBot="1">
      <c r="A34" s="164" t="s">
        <v>20</v>
      </c>
      <c r="B34" s="151"/>
      <c r="C34" s="148">
        <f>SUM(C33)</f>
        <v>500</v>
      </c>
      <c r="D34" s="230">
        <v>0</v>
      </c>
      <c r="E34" s="230">
        <v>0</v>
      </c>
      <c r="F34" s="148">
        <f>E34-C34</f>
        <v>-500</v>
      </c>
    </row>
    <row r="35" spans="1:6" ht="18.75" customHeight="1" thickTop="1">
      <c r="A35" s="303"/>
      <c r="B35" s="303"/>
      <c r="C35" s="303"/>
      <c r="D35" s="303"/>
      <c r="E35" s="303"/>
      <c r="F35" s="303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5" t="s">
        <v>55</v>
      </c>
      <c r="B42" s="305"/>
      <c r="C42" s="305"/>
      <c r="D42" s="305"/>
      <c r="E42" s="305"/>
      <c r="F42" s="305"/>
    </row>
    <row r="43" spans="1:6" ht="18.75">
      <c r="A43" s="299" t="s">
        <v>11</v>
      </c>
      <c r="B43" s="300"/>
      <c r="C43" s="301"/>
      <c r="D43" s="301"/>
      <c r="E43" s="301"/>
      <c r="F43" s="302"/>
    </row>
    <row r="44" spans="1:6" ht="18.75">
      <c r="A44" s="298" t="s">
        <v>25</v>
      </c>
      <c r="B44" s="297" t="s">
        <v>3</v>
      </c>
      <c r="C44" s="297" t="s">
        <v>23</v>
      </c>
      <c r="D44" s="297" t="s">
        <v>38</v>
      </c>
      <c r="E44" s="297" t="s">
        <v>39</v>
      </c>
      <c r="F44" s="144" t="s">
        <v>146</v>
      </c>
    </row>
    <row r="45" spans="1:6" ht="18.75">
      <c r="A45" s="298"/>
      <c r="B45" s="297"/>
      <c r="C45" s="297"/>
      <c r="D45" s="297"/>
      <c r="E45" s="297"/>
      <c r="F45" s="144" t="s">
        <v>23</v>
      </c>
    </row>
    <row r="46" spans="1:6" ht="18.75">
      <c r="A46" s="165" t="s">
        <v>86</v>
      </c>
      <c r="B46" s="149"/>
      <c r="C46" s="153"/>
      <c r="D46" s="153"/>
      <c r="E46" s="153"/>
      <c r="F46" s="153"/>
    </row>
    <row r="47" spans="1:6" ht="18.75">
      <c r="A47" s="159" t="s">
        <v>50</v>
      </c>
      <c r="B47" s="147">
        <v>421000</v>
      </c>
      <c r="C47" s="91"/>
      <c r="D47" s="91"/>
      <c r="E47" s="91"/>
      <c r="F47" s="91"/>
    </row>
    <row r="48" spans="1:6" ht="18.75">
      <c r="A48" s="160" t="s">
        <v>454</v>
      </c>
      <c r="B48" s="149">
        <v>421001</v>
      </c>
      <c r="C48" s="91">
        <v>124700</v>
      </c>
      <c r="D48" s="91">
        <v>136284.04</v>
      </c>
      <c r="E48" s="91">
        <f>136284.04</f>
        <v>136284.04</v>
      </c>
      <c r="F48" s="91">
        <f>E48-C48</f>
        <v>11584.040000000008</v>
      </c>
    </row>
    <row r="49" spans="1:6" ht="18.75">
      <c r="A49" s="160" t="s">
        <v>453</v>
      </c>
      <c r="B49" s="146">
        <v>421002</v>
      </c>
      <c r="C49" s="91">
        <v>7000000</v>
      </c>
      <c r="D49" s="91">
        <v>597106.1</v>
      </c>
      <c r="E49" s="91">
        <f>597106.1</f>
        <v>597106.1</v>
      </c>
      <c r="F49" s="91">
        <f>E49-C49</f>
        <v>-6402893.9</v>
      </c>
    </row>
    <row r="50" spans="1:6" ht="18.75">
      <c r="A50" s="160" t="s">
        <v>87</v>
      </c>
      <c r="B50" s="146">
        <v>421004</v>
      </c>
      <c r="C50" s="91">
        <v>2500000</v>
      </c>
      <c r="D50" s="91">
        <v>243846.36</v>
      </c>
      <c r="E50" s="91">
        <f>243846.36</f>
        <v>243846.36</v>
      </c>
      <c r="F50" s="91">
        <f aca="true" t="shared" si="1" ref="F50:F56">E50-C50</f>
        <v>-2256153.64</v>
      </c>
    </row>
    <row r="51" spans="1:6" ht="18.75">
      <c r="A51" s="160" t="s">
        <v>51</v>
      </c>
      <c r="B51" s="146">
        <v>421005</v>
      </c>
      <c r="C51" s="91">
        <v>125000</v>
      </c>
      <c r="D51" s="231">
        <v>0</v>
      </c>
      <c r="E51" s="91">
        <v>0</v>
      </c>
      <c r="F51" s="91">
        <f t="shared" si="1"/>
        <v>-125000</v>
      </c>
    </row>
    <row r="52" spans="1:6" ht="18.75">
      <c r="A52" s="160" t="s">
        <v>52</v>
      </c>
      <c r="B52" s="146">
        <v>421006</v>
      </c>
      <c r="C52" s="91">
        <v>1320000</v>
      </c>
      <c r="D52" s="91">
        <v>92743.06</v>
      </c>
      <c r="E52" s="91">
        <v>92743.06</v>
      </c>
      <c r="F52" s="91">
        <f t="shared" si="1"/>
        <v>-1227256.94</v>
      </c>
    </row>
    <row r="53" spans="1:6" ht="18.75">
      <c r="A53" s="160" t="s">
        <v>53</v>
      </c>
      <c r="B53" s="146">
        <v>421007</v>
      </c>
      <c r="C53" s="91">
        <v>1700000</v>
      </c>
      <c r="D53" s="91">
        <v>137419.53</v>
      </c>
      <c r="E53" s="91">
        <f>137419.53</f>
        <v>137419.53</v>
      </c>
      <c r="F53" s="91">
        <f t="shared" si="1"/>
        <v>-1562580.47</v>
      </c>
    </row>
    <row r="54" spans="1:6" ht="18.75">
      <c r="A54" s="160" t="s">
        <v>88</v>
      </c>
      <c r="B54" s="146">
        <v>421012</v>
      </c>
      <c r="C54" s="91">
        <v>15000</v>
      </c>
      <c r="D54" s="231">
        <v>0</v>
      </c>
      <c r="E54" s="91">
        <v>0</v>
      </c>
      <c r="F54" s="91">
        <f t="shared" si="1"/>
        <v>-15000</v>
      </c>
    </row>
    <row r="55" spans="1:6" ht="18.75">
      <c r="A55" s="160" t="s">
        <v>89</v>
      </c>
      <c r="B55" s="146">
        <v>421013</v>
      </c>
      <c r="C55" s="91">
        <v>73000</v>
      </c>
      <c r="D55" s="231">
        <v>22045.19</v>
      </c>
      <c r="E55" s="91">
        <f>22045.19</f>
        <v>22045.19</v>
      </c>
      <c r="F55" s="91">
        <f t="shared" si="1"/>
        <v>-50954.81</v>
      </c>
    </row>
    <row r="56" spans="1:6" ht="18.75">
      <c r="A56" s="160" t="s">
        <v>142</v>
      </c>
      <c r="B56" s="146">
        <v>421015</v>
      </c>
      <c r="C56" s="91">
        <v>350000</v>
      </c>
      <c r="D56" s="91">
        <v>20975</v>
      </c>
      <c r="E56" s="91">
        <f>20975</f>
        <v>20975</v>
      </c>
      <c r="F56" s="91">
        <f t="shared" si="1"/>
        <v>-329025</v>
      </c>
    </row>
    <row r="57" spans="1:6" ht="19.5" thickBot="1">
      <c r="A57" s="161" t="s">
        <v>20</v>
      </c>
      <c r="B57" s="146"/>
      <c r="C57" s="148">
        <f>SUM(C48:C56)</f>
        <v>13207700</v>
      </c>
      <c r="D57" s="148">
        <f>SUM(D48:D56)</f>
        <v>1250419.28</v>
      </c>
      <c r="E57" s="148">
        <f>SUM(E48:E56)</f>
        <v>1250419.28</v>
      </c>
      <c r="F57" s="148">
        <f>SUM(F48:F56)</f>
        <v>-11957280.72</v>
      </c>
    </row>
    <row r="58" spans="1:6" ht="19.5" thickTop="1">
      <c r="A58" s="166" t="s">
        <v>90</v>
      </c>
      <c r="B58" s="146"/>
      <c r="C58" s="150"/>
      <c r="D58" s="150"/>
      <c r="E58" s="150"/>
      <c r="F58" s="150"/>
    </row>
    <row r="59" spans="1:6" ht="18.75">
      <c r="A59" s="159" t="s">
        <v>363</v>
      </c>
      <c r="B59" s="154">
        <v>431000</v>
      </c>
      <c r="C59" s="91"/>
      <c r="D59" s="91"/>
      <c r="E59" s="91"/>
      <c r="F59" s="91"/>
    </row>
    <row r="60" spans="1:6" ht="18.75">
      <c r="A60" s="160" t="s">
        <v>91</v>
      </c>
      <c r="B60" s="146">
        <v>431002</v>
      </c>
      <c r="C60" s="91">
        <v>8299400</v>
      </c>
      <c r="D60" s="229">
        <v>0</v>
      </c>
      <c r="E60" s="91">
        <v>0</v>
      </c>
      <c r="F60" s="91">
        <f>E60-C60</f>
        <v>-8299400</v>
      </c>
    </row>
    <row r="61" spans="1:6" ht="18.75">
      <c r="A61" s="160" t="s">
        <v>92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8299400</v>
      </c>
      <c r="D62" s="230">
        <f>SUM(D60:D61)</f>
        <v>0</v>
      </c>
      <c r="E62" s="148">
        <f>SUM(E60:E61)</f>
        <v>0</v>
      </c>
      <c r="F62" s="148">
        <f>SUM(F60:F61)</f>
        <v>-8299400</v>
      </c>
    </row>
    <row r="63" spans="1:6" ht="19.5" thickTop="1">
      <c r="A63" s="161" t="s">
        <v>54</v>
      </c>
      <c r="B63" s="146"/>
      <c r="C63" s="155">
        <f>C12+C23+C26+C31+C34+C57+C62</f>
        <v>22422850</v>
      </c>
      <c r="D63" s="155">
        <f>SUM(D12,D23,D26,D31,D57,D62)</f>
        <v>1280628.02</v>
      </c>
      <c r="E63" s="155">
        <f>SUM(E12,E23,E26,E31,E57,E62)</f>
        <v>1280628.02</v>
      </c>
      <c r="F63" s="155">
        <f>E63-C63</f>
        <v>-21142221.98</v>
      </c>
    </row>
  </sheetData>
  <sheetProtection/>
  <mergeCells count="17"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  <mergeCell ref="D5:D6"/>
    <mergeCell ref="E5:E6"/>
    <mergeCell ref="A5:A6"/>
    <mergeCell ref="A43:F43"/>
    <mergeCell ref="A35:F35"/>
    <mergeCell ref="B5:B6"/>
    <mergeCell ref="C5:C6"/>
  </mergeCells>
  <printOptions/>
  <pageMargins left="0.3937007874015748" right="0.11811023622047245" top="0.5511811023622047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A18" sqref="A18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4" t="s">
        <v>60</v>
      </c>
      <c r="B1" s="274"/>
      <c r="C1" s="274"/>
    </row>
    <row r="2" spans="1:3" ht="18" customHeight="1">
      <c r="A2" s="274" t="s">
        <v>61</v>
      </c>
      <c r="B2" s="274"/>
      <c r="C2" s="274"/>
    </row>
    <row r="3" spans="1:3" ht="18" customHeight="1">
      <c r="A3" s="306" t="s">
        <v>484</v>
      </c>
      <c r="B3" s="306"/>
      <c r="C3" s="306"/>
    </row>
    <row r="4" spans="1:3" ht="18" customHeight="1">
      <c r="A4" s="53" t="s">
        <v>25</v>
      </c>
      <c r="B4" s="53" t="s">
        <v>28</v>
      </c>
      <c r="C4" s="53" t="s">
        <v>62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131</v>
      </c>
      <c r="B6" s="55">
        <v>1280628.02</v>
      </c>
      <c r="C6" s="55">
        <f>1280628.02</f>
        <v>1280628.02</v>
      </c>
    </row>
    <row r="7" spans="1:3" ht="18" customHeight="1">
      <c r="A7" s="56" t="s">
        <v>63</v>
      </c>
      <c r="B7" s="55">
        <v>43639.05</v>
      </c>
      <c r="C7" s="55">
        <f>43639.05</f>
        <v>43639.05</v>
      </c>
    </row>
    <row r="8" spans="1:3" ht="18" customHeight="1">
      <c r="A8" s="56" t="s">
        <v>485</v>
      </c>
      <c r="B8" s="55">
        <v>721332.93</v>
      </c>
      <c r="C8" s="55">
        <f>721332.93</f>
        <v>721332.93</v>
      </c>
    </row>
    <row r="9" spans="1:3" ht="18" customHeight="1" thickBot="1">
      <c r="A9" s="57" t="s">
        <v>20</v>
      </c>
      <c r="B9" s="59">
        <f>SUM(B6:B8)</f>
        <v>2045600</v>
      </c>
      <c r="C9" s="59">
        <f>SUM(C6:C8)</f>
        <v>2045600</v>
      </c>
    </row>
    <row r="10" spans="1:3" ht="18" customHeight="1" thickTop="1">
      <c r="A10" s="61" t="s">
        <v>34</v>
      </c>
      <c r="B10" s="92"/>
      <c r="C10" s="55"/>
    </row>
    <row r="11" spans="1:3" ht="18" customHeight="1">
      <c r="A11" s="56" t="s">
        <v>486</v>
      </c>
      <c r="B11" s="44">
        <v>1046430.57</v>
      </c>
      <c r="C11" s="55">
        <f>1046430.57</f>
        <v>1046430.57</v>
      </c>
    </row>
    <row r="12" spans="1:3" ht="18" customHeight="1">
      <c r="A12" s="56" t="s">
        <v>487</v>
      </c>
      <c r="B12" s="44">
        <v>78500</v>
      </c>
      <c r="C12" s="55">
        <f>78500</f>
        <v>78500</v>
      </c>
    </row>
    <row r="13" spans="1:3" ht="18" customHeight="1">
      <c r="A13" s="56" t="s">
        <v>64</v>
      </c>
      <c r="B13" s="55">
        <v>327639.36</v>
      </c>
      <c r="C13" s="55">
        <f>327639.36</f>
        <v>327639.36</v>
      </c>
    </row>
    <row r="14" spans="1:3" ht="18" customHeight="1">
      <c r="A14" s="56" t="s">
        <v>132</v>
      </c>
      <c r="B14" s="55">
        <v>1426375.52</v>
      </c>
      <c r="C14" s="55">
        <f>1426375.52</f>
        <v>1426375.52</v>
      </c>
    </row>
    <row r="15" spans="1:3" ht="18" customHeight="1" thickBot="1">
      <c r="A15" s="57" t="s">
        <v>20</v>
      </c>
      <c r="B15" s="59">
        <f>SUM(B11:B14)</f>
        <v>2878945.4499999997</v>
      </c>
      <c r="C15" s="59">
        <f>SUM(C11:C14)</f>
        <v>2878945.4499999997</v>
      </c>
    </row>
    <row r="16" spans="1:3" ht="18" customHeight="1" thickBot="1" thickTop="1">
      <c r="A16" s="57" t="s">
        <v>65</v>
      </c>
      <c r="B16" s="59">
        <f>B9-B15</f>
        <v>-833345.4499999997</v>
      </c>
      <c r="C16" s="59">
        <f>C9-C15</f>
        <v>-833345.4499999997</v>
      </c>
    </row>
    <row r="17" spans="1:3" ht="18" customHeight="1" thickTop="1">
      <c r="A17" s="256"/>
      <c r="B17" s="257"/>
      <c r="C17" s="257"/>
    </row>
    <row r="18" spans="1:5" ht="18" customHeight="1">
      <c r="A18" s="6" t="s">
        <v>12</v>
      </c>
      <c r="B18" s="16"/>
      <c r="C18" s="22"/>
      <c r="D18" s="22"/>
      <c r="E18" s="22"/>
    </row>
    <row r="19" spans="1:5" ht="18" customHeight="1">
      <c r="A19" s="48" t="s">
        <v>13</v>
      </c>
      <c r="B19" s="16"/>
      <c r="C19" s="22"/>
      <c r="D19" s="22"/>
      <c r="E19" s="21"/>
    </row>
    <row r="20" spans="1:5" ht="18" customHeight="1">
      <c r="A20" s="48"/>
      <c r="B20" s="16"/>
      <c r="C20" s="22"/>
      <c r="D20" s="22"/>
      <c r="E20" s="21"/>
    </row>
    <row r="21" spans="1:5" ht="18" customHeight="1">
      <c r="A21" s="289" t="s">
        <v>66</v>
      </c>
      <c r="B21" s="289"/>
      <c r="C21" s="289"/>
      <c r="D21" s="17"/>
      <c r="E21" s="17"/>
    </row>
    <row r="22" spans="1:5" ht="18" customHeight="1">
      <c r="A22" s="289" t="s">
        <v>96</v>
      </c>
      <c r="B22" s="289"/>
      <c r="C22" s="289"/>
      <c r="D22" s="17"/>
      <c r="E22" s="17"/>
    </row>
    <row r="23" spans="1:5" ht="18" customHeight="1">
      <c r="A23" s="289" t="s">
        <v>14</v>
      </c>
      <c r="B23" s="289"/>
      <c r="C23" s="289"/>
      <c r="D23" s="17"/>
      <c r="E23" s="17"/>
    </row>
    <row r="24" spans="1:5" ht="18" customHeight="1">
      <c r="A24" s="6"/>
      <c r="B24" s="16"/>
      <c r="C24" s="22"/>
      <c r="D24" s="22"/>
      <c r="E24" s="6"/>
    </row>
    <row r="25" spans="1:5" s="1" customFormat="1" ht="18" customHeight="1">
      <c r="A25" s="289" t="s">
        <v>133</v>
      </c>
      <c r="B25" s="289"/>
      <c r="C25" s="289"/>
      <c r="D25" s="17"/>
      <c r="E25" s="17"/>
    </row>
    <row r="26" spans="1:5" s="1" customFormat="1" ht="18" customHeight="1">
      <c r="A26" s="289" t="s">
        <v>15</v>
      </c>
      <c r="B26" s="289"/>
      <c r="C26" s="289"/>
      <c r="D26" s="17"/>
      <c r="E26" s="17"/>
    </row>
    <row r="27" spans="1:5" s="1" customFormat="1" ht="18" customHeight="1">
      <c r="A27" s="290">
        <v>240270</v>
      </c>
      <c r="B27" s="290"/>
      <c r="C27" s="290"/>
      <c r="D27" s="17"/>
      <c r="E27" s="17"/>
    </row>
  </sheetData>
  <sheetProtection/>
  <mergeCells count="9">
    <mergeCell ref="A27:C27"/>
    <mergeCell ref="A22:C22"/>
    <mergeCell ref="A23:C23"/>
    <mergeCell ref="A25:C25"/>
    <mergeCell ref="A26:C26"/>
    <mergeCell ref="A1:C1"/>
    <mergeCell ref="A2:C2"/>
    <mergeCell ref="A3:C3"/>
    <mergeCell ref="A21:C21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7" t="s">
        <v>67</v>
      </c>
      <c r="B2" s="307"/>
      <c r="C2" s="307"/>
      <c r="D2" s="307"/>
      <c r="E2" s="307"/>
      <c r="F2" s="307"/>
      <c r="G2" s="313" t="s">
        <v>68</v>
      </c>
      <c r="H2" s="307"/>
      <c r="I2" s="307"/>
      <c r="J2" s="307"/>
    </row>
    <row r="3" spans="1:10" ht="23.25">
      <c r="A3" s="307" t="s">
        <v>69</v>
      </c>
      <c r="B3" s="307"/>
      <c r="C3" s="307"/>
      <c r="D3" s="307"/>
      <c r="E3" s="307"/>
      <c r="F3" s="307"/>
      <c r="G3" s="313" t="s">
        <v>94</v>
      </c>
      <c r="H3" s="307"/>
      <c r="I3" s="307"/>
      <c r="J3" s="307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5" t="s">
        <v>488</v>
      </c>
      <c r="B5" s="315"/>
      <c r="C5" s="315"/>
      <c r="D5" s="315"/>
      <c r="E5" s="315"/>
      <c r="F5" s="316"/>
      <c r="G5" s="66"/>
      <c r="H5" s="66"/>
      <c r="I5" s="66"/>
      <c r="J5" s="67">
        <v>7751090.7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0" t="s">
        <v>70</v>
      </c>
      <c r="B8" s="310"/>
      <c r="C8" s="310"/>
      <c r="D8" s="310"/>
      <c r="E8" s="310"/>
      <c r="F8" s="69"/>
      <c r="G8" s="66"/>
      <c r="H8" s="66"/>
      <c r="I8" s="66"/>
      <c r="J8" s="67"/>
    </row>
    <row r="9" spans="1:10" ht="23.25">
      <c r="A9" s="97" t="s">
        <v>71</v>
      </c>
      <c r="B9" s="70"/>
      <c r="C9" s="97" t="s">
        <v>72</v>
      </c>
      <c r="D9" s="70"/>
      <c r="E9" s="70"/>
      <c r="F9" s="71" t="s">
        <v>73</v>
      </c>
      <c r="G9" s="66"/>
      <c r="H9" s="66"/>
      <c r="I9" s="66"/>
      <c r="J9" s="67"/>
    </row>
    <row r="10" spans="1:10" ht="23.25">
      <c r="A10" s="97" t="s">
        <v>512</v>
      </c>
      <c r="B10" s="70"/>
      <c r="C10" s="97" t="s">
        <v>513</v>
      </c>
      <c r="D10" s="70"/>
      <c r="E10" s="70"/>
      <c r="F10" s="71">
        <v>267</v>
      </c>
      <c r="G10" s="66"/>
      <c r="H10" s="66"/>
      <c r="I10" s="66"/>
      <c r="J10" s="67"/>
    </row>
    <row r="11" spans="1:10" ht="23.25">
      <c r="A11" s="97" t="s">
        <v>489</v>
      </c>
      <c r="B11" s="70"/>
      <c r="C11" s="97" t="s">
        <v>490</v>
      </c>
      <c r="D11" s="70"/>
      <c r="E11" s="70"/>
      <c r="F11" s="72">
        <v>2000</v>
      </c>
      <c r="G11" s="66"/>
      <c r="H11" s="66"/>
      <c r="I11" s="66"/>
      <c r="J11" s="73"/>
    </row>
    <row r="12" spans="1:10" ht="23.25">
      <c r="A12" s="97" t="s">
        <v>491</v>
      </c>
      <c r="B12" s="70"/>
      <c r="C12" s="97" t="s">
        <v>492</v>
      </c>
      <c r="D12" s="70"/>
      <c r="E12" s="70"/>
      <c r="F12" s="72">
        <v>1000</v>
      </c>
      <c r="G12" s="66"/>
      <c r="H12" s="66"/>
      <c r="I12" s="66"/>
      <c r="J12" s="67"/>
    </row>
    <row r="13" spans="1:10" ht="23.25">
      <c r="A13" s="97"/>
      <c r="B13" s="70"/>
      <c r="C13" s="97" t="s">
        <v>493</v>
      </c>
      <c r="D13" s="70"/>
      <c r="E13" s="70"/>
      <c r="F13" s="72">
        <v>1000</v>
      </c>
      <c r="G13" s="66"/>
      <c r="H13" s="66"/>
      <c r="I13" s="66"/>
      <c r="J13" s="67"/>
    </row>
    <row r="14" spans="1:10" ht="23.25">
      <c r="A14" s="97"/>
      <c r="B14" s="70"/>
      <c r="C14" s="97" t="s">
        <v>494</v>
      </c>
      <c r="D14" s="70"/>
      <c r="E14" s="70"/>
      <c r="F14" s="72">
        <v>1000</v>
      </c>
      <c r="G14" s="66"/>
      <c r="H14" s="66"/>
      <c r="I14" s="66"/>
      <c r="J14" s="67"/>
    </row>
    <row r="15" spans="1:10" ht="23.25">
      <c r="A15" s="97" t="s">
        <v>495</v>
      </c>
      <c r="B15" s="70"/>
      <c r="C15" s="97" t="s">
        <v>496</v>
      </c>
      <c r="D15" s="70"/>
      <c r="E15" s="70"/>
      <c r="F15" s="72">
        <v>8952</v>
      </c>
      <c r="G15" s="66"/>
      <c r="H15" s="66"/>
      <c r="I15" s="66"/>
      <c r="J15" s="67"/>
    </row>
    <row r="16" spans="1:10" ht="23.25">
      <c r="A16" s="97" t="s">
        <v>497</v>
      </c>
      <c r="B16" s="70"/>
      <c r="C16" s="97" t="s">
        <v>498</v>
      </c>
      <c r="D16" s="70"/>
      <c r="E16" s="70"/>
      <c r="F16" s="72">
        <v>11899.01</v>
      </c>
      <c r="G16" s="66"/>
      <c r="H16" s="66"/>
      <c r="I16" s="66"/>
      <c r="J16" s="67"/>
    </row>
    <row r="17" spans="1:10" ht="23.25">
      <c r="A17" s="97"/>
      <c r="B17" s="70"/>
      <c r="C17" s="97" t="s">
        <v>499</v>
      </c>
      <c r="D17" s="70"/>
      <c r="E17" s="70"/>
      <c r="F17" s="72">
        <v>8820</v>
      </c>
      <c r="G17" s="66"/>
      <c r="H17" s="66"/>
      <c r="I17" s="66"/>
      <c r="J17" s="67"/>
    </row>
    <row r="18" spans="1:10" ht="23.25">
      <c r="A18" s="96"/>
      <c r="B18" s="70"/>
      <c r="C18" s="97" t="s">
        <v>500</v>
      </c>
      <c r="D18" s="70"/>
      <c r="E18" s="70"/>
      <c r="F18" s="72">
        <v>4241.36</v>
      </c>
      <c r="G18" s="66"/>
      <c r="H18" s="66"/>
      <c r="I18" s="66"/>
      <c r="J18" s="67">
        <v>39179.37</v>
      </c>
    </row>
    <row r="19" spans="1:10" ht="23.25">
      <c r="A19" s="70"/>
      <c r="B19" s="70"/>
      <c r="C19" s="97"/>
      <c r="D19" s="70"/>
      <c r="E19" s="70"/>
      <c r="F19" s="232"/>
      <c r="G19" s="66"/>
      <c r="H19" s="66"/>
      <c r="I19" s="66"/>
      <c r="J19" s="67"/>
    </row>
    <row r="20" spans="1:10" ht="23.25">
      <c r="A20" s="70"/>
      <c r="B20" s="70"/>
      <c r="C20" s="97"/>
      <c r="D20" s="70"/>
      <c r="E20" s="70"/>
      <c r="F20" s="23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2"/>
      <c r="G21" s="66"/>
      <c r="H21" s="66"/>
      <c r="I21" s="66"/>
      <c r="J21" s="67"/>
    </row>
    <row r="22" spans="1:10" ht="23.25">
      <c r="A22" s="96"/>
      <c r="B22" s="70"/>
      <c r="C22" s="97"/>
      <c r="D22" s="70"/>
      <c r="E22" s="70"/>
      <c r="F22" s="72"/>
      <c r="G22" s="66"/>
      <c r="H22" s="66"/>
      <c r="I22" s="66"/>
      <c r="J22" s="67"/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317" t="s">
        <v>503</v>
      </c>
      <c r="B25" s="317"/>
      <c r="C25" s="317"/>
      <c r="D25" s="317"/>
      <c r="E25" s="317"/>
      <c r="F25" s="318"/>
      <c r="G25" s="66"/>
      <c r="H25" s="66"/>
      <c r="I25" s="66"/>
      <c r="J25" s="67">
        <f>J5-J18</f>
        <v>7711911.33</v>
      </c>
    </row>
    <row r="26" spans="1:10" ht="23.25">
      <c r="A26" s="96"/>
      <c r="B26" s="70"/>
      <c r="C26" s="96"/>
      <c r="D26" s="70"/>
      <c r="E26" s="70"/>
      <c r="F26" s="74"/>
      <c r="G26" s="66"/>
      <c r="H26" s="66"/>
      <c r="I26" s="66"/>
      <c r="J26" s="67"/>
    </row>
    <row r="27" spans="1:10" ht="23.25">
      <c r="A27" s="98" t="s">
        <v>74</v>
      </c>
      <c r="B27" s="75"/>
      <c r="C27" s="98"/>
      <c r="D27" s="75"/>
      <c r="E27" s="75"/>
      <c r="F27" s="76"/>
      <c r="G27" s="314" t="s">
        <v>75</v>
      </c>
      <c r="H27" s="315"/>
      <c r="I27" s="315"/>
      <c r="J27" s="315"/>
    </row>
    <row r="28" spans="1:10" ht="23.25">
      <c r="A28" s="95"/>
      <c r="B28" s="68"/>
      <c r="C28" s="95"/>
      <c r="D28" s="68"/>
      <c r="E28" s="68"/>
      <c r="F28" s="72"/>
      <c r="G28" s="68"/>
      <c r="H28" s="68"/>
      <c r="I28" s="68"/>
      <c r="J28" s="68"/>
    </row>
    <row r="29" spans="1:11" ht="23.25">
      <c r="A29" s="311" t="s">
        <v>501</v>
      </c>
      <c r="B29" s="311"/>
      <c r="C29" s="311"/>
      <c r="D29" s="311"/>
      <c r="E29" s="311"/>
      <c r="F29" s="312"/>
      <c r="G29" s="313" t="s">
        <v>502</v>
      </c>
      <c r="H29" s="307"/>
      <c r="I29" s="307"/>
      <c r="J29" s="307"/>
      <c r="K29" s="68"/>
    </row>
    <row r="30" spans="1:10" ht="23.25">
      <c r="A30" s="307" t="s">
        <v>98</v>
      </c>
      <c r="B30" s="307"/>
      <c r="C30" s="307"/>
      <c r="D30" s="307"/>
      <c r="E30" s="68"/>
      <c r="F30" s="72"/>
      <c r="G30" s="308" t="s">
        <v>93</v>
      </c>
      <c r="H30" s="309"/>
      <c r="I30" s="309"/>
      <c r="J30" s="309"/>
    </row>
    <row r="31" spans="1:10" ht="23.25">
      <c r="A31" s="99"/>
      <c r="B31" s="77"/>
      <c r="C31" s="99"/>
      <c r="D31" s="77"/>
      <c r="E31" s="77"/>
      <c r="F31" s="74"/>
      <c r="G31" s="78"/>
      <c r="H31" s="78"/>
      <c r="I31" s="78"/>
      <c r="J31" s="79"/>
    </row>
    <row r="34" ht="21.75" customHeight="1"/>
    <row r="35" ht="21.75" customHeight="1"/>
  </sheetData>
  <sheetProtection/>
  <mergeCells count="12">
    <mergeCell ref="G2:J2"/>
    <mergeCell ref="A3:F3"/>
    <mergeCell ref="G3:J3"/>
    <mergeCell ref="A5:F5"/>
    <mergeCell ref="A2:F2"/>
    <mergeCell ref="A25:F25"/>
    <mergeCell ref="A30:D30"/>
    <mergeCell ref="G30:J30"/>
    <mergeCell ref="A8:E8"/>
    <mergeCell ref="A29:F29"/>
    <mergeCell ref="G29:J29"/>
    <mergeCell ref="G27:J27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2014-11-10T01:51:20Z</cp:lastPrinted>
  <dcterms:created xsi:type="dcterms:W3CDTF">1996-10-14T23:33:28Z</dcterms:created>
  <dcterms:modified xsi:type="dcterms:W3CDTF">2014-11-10T08:15:58Z</dcterms:modified>
  <cp:category/>
  <cp:version/>
  <cp:contentType/>
  <cp:contentStatus/>
</cp:coreProperties>
</file>